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6515" windowHeight="7485" activeTab="1"/>
  </bookViews>
  <sheets>
    <sheet name="Fondo de maniobra" sheetId="18" r:id="rId1"/>
    <sheet name="Gastos Mensuales" sheetId="7" r:id="rId2"/>
    <sheet name="Factura" sheetId="6" r:id="rId3"/>
    <sheet name="Informe de gastos" sheetId="5" r:id="rId4"/>
    <sheet name="Hoja de asistencia" sheetId="12" r:id="rId5"/>
    <sheet name="Registro de ventas" sheetId="16" r:id="rId6"/>
    <sheet name="Presupuesto mensual personal" sheetId="13" r:id="rId7"/>
  </sheets>
  <calcPr calcId="145621"/>
</workbook>
</file>

<file path=xl/calcChain.xml><?xml version="1.0" encoding="utf-8"?>
<calcChain xmlns="http://schemas.openxmlformats.org/spreadsheetml/2006/main">
  <c r="D27" i="7" l="1"/>
  <c r="C27" i="7"/>
  <c r="D25" i="7"/>
  <c r="F35" i="18"/>
  <c r="C10" i="18"/>
  <c r="C11" i="18"/>
  <c r="C12" i="18"/>
  <c r="C13" i="18"/>
  <c r="B14" i="18"/>
  <c r="C14" i="18" s="1"/>
  <c r="C16" i="18" s="1"/>
  <c r="C15" i="18"/>
  <c r="B20" i="18"/>
  <c r="B24" i="18"/>
  <c r="B28" i="18" s="1"/>
  <c r="B33" i="18"/>
  <c r="D33" i="18" s="1"/>
  <c r="D35" i="18" s="1"/>
  <c r="B34" i="18"/>
  <c r="C34" i="18"/>
  <c r="D34" i="18"/>
  <c r="C35" i="18"/>
  <c r="B41" i="18"/>
  <c r="D41" i="18" s="1"/>
  <c r="D49" i="18" s="1"/>
  <c r="D42" i="18"/>
  <c r="D43" i="18"/>
  <c r="D44" i="18"/>
  <c r="B45" i="18"/>
  <c r="D45" i="18"/>
  <c r="D46" i="18"/>
  <c r="D47" i="18"/>
  <c r="D48" i="18"/>
  <c r="B59" i="18"/>
  <c r="B60" i="18"/>
  <c r="B61" i="18" s="1"/>
  <c r="B75" i="18"/>
  <c r="B76" i="18" s="1"/>
  <c r="C75" i="18"/>
  <c r="D75" i="18"/>
  <c r="D76" i="18" s="1"/>
  <c r="C76" i="18"/>
  <c r="B84" i="18"/>
  <c r="B85" i="18" s="1"/>
  <c r="C84" i="18"/>
  <c r="D84" i="18"/>
  <c r="D85" i="18" s="1"/>
  <c r="D103" i="18" s="1"/>
  <c r="C85" i="18"/>
  <c r="B102" i="18"/>
  <c r="B103" i="18" s="1"/>
  <c r="C102" i="18"/>
  <c r="D102" i="18"/>
  <c r="C103" i="18"/>
  <c r="B35" i="18" l="1"/>
  <c r="B16" i="18"/>
  <c r="E24" i="16"/>
  <c r="E25" i="16"/>
  <c r="C24" i="16"/>
  <c r="F23" i="16"/>
  <c r="D23" i="16"/>
  <c r="F22" i="16"/>
  <c r="C22" i="16"/>
  <c r="D20" i="16"/>
  <c r="C20" i="16"/>
  <c r="F4" i="16"/>
  <c r="D16" i="16"/>
  <c r="F21" i="16"/>
  <c r="E21" i="16"/>
  <c r="C21" i="16"/>
  <c r="E19" i="16"/>
  <c r="C18" i="16"/>
  <c r="F17" i="16"/>
  <c r="D17" i="16"/>
  <c r="F16" i="16"/>
  <c r="C16" i="16"/>
  <c r="E15" i="16"/>
  <c r="C15" i="16"/>
  <c r="E14" i="16"/>
  <c r="C14" i="16"/>
  <c r="C11" i="16"/>
  <c r="F9" i="16"/>
  <c r="F5" i="16"/>
  <c r="D5" i="16"/>
  <c r="C8" i="16"/>
  <c r="F10" i="16"/>
  <c r="D13" i="16"/>
  <c r="D10" i="16"/>
  <c r="E6" i="16"/>
  <c r="C6" i="16"/>
  <c r="E8" i="16"/>
  <c r="C9" i="16"/>
  <c r="F14" i="16"/>
  <c r="F6" i="16"/>
  <c r="C13" i="16"/>
  <c r="E12" i="16"/>
  <c r="D7" i="16"/>
  <c r="C4" i="16"/>
  <c r="E3" i="16"/>
  <c r="D3" i="16"/>
  <c r="E2" i="16"/>
  <c r="E26" i="16" s="1"/>
  <c r="C2" i="16"/>
  <c r="E6" i="13"/>
  <c r="E9" i="13"/>
  <c r="E12" i="13"/>
  <c r="J12" i="13"/>
  <c r="E13" i="13"/>
  <c r="J13" i="13"/>
  <c r="E14" i="13"/>
  <c r="J14" i="13"/>
  <c r="E15" i="13"/>
  <c r="J15" i="13"/>
  <c r="E16" i="13"/>
  <c r="J16" i="13"/>
  <c r="E17" i="13"/>
  <c r="J17" i="13"/>
  <c r="E18" i="13"/>
  <c r="J18" i="13"/>
  <c r="E19" i="13"/>
  <c r="J19" i="13"/>
  <c r="E20" i="13"/>
  <c r="J20" i="13"/>
  <c r="E21" i="13"/>
  <c r="H21" i="13"/>
  <c r="I21" i="13"/>
  <c r="J21" i="13"/>
  <c r="C22" i="13"/>
  <c r="D22" i="13"/>
  <c r="E22" i="13"/>
  <c r="J24" i="13"/>
  <c r="E25" i="13"/>
  <c r="J25" i="13"/>
  <c r="E26" i="13"/>
  <c r="J26" i="13"/>
  <c r="E27" i="13"/>
  <c r="J27" i="13"/>
  <c r="E28" i="13"/>
  <c r="J28" i="13"/>
  <c r="E29" i="13"/>
  <c r="J29" i="13"/>
  <c r="E30" i="13"/>
  <c r="H30" i="13"/>
  <c r="I30" i="13"/>
  <c r="J30" i="13"/>
  <c r="E31" i="13"/>
  <c r="C32" i="13"/>
  <c r="D32" i="13"/>
  <c r="J33" i="13"/>
  <c r="J34" i="13"/>
  <c r="E35" i="13"/>
  <c r="J35" i="13"/>
  <c r="E36" i="13"/>
  <c r="J36" i="13"/>
  <c r="E37" i="13"/>
  <c r="H37" i="13"/>
  <c r="I37" i="13"/>
  <c r="J37" i="13"/>
  <c r="E38" i="13"/>
  <c r="C39" i="13"/>
  <c r="D39" i="13"/>
  <c r="E39" i="13"/>
  <c r="J40" i="13"/>
  <c r="J41" i="13"/>
  <c r="E42" i="13"/>
  <c r="J42" i="13"/>
  <c r="E43" i="13"/>
  <c r="H43" i="13"/>
  <c r="I43" i="13"/>
  <c r="J43" i="13"/>
  <c r="E44" i="13"/>
  <c r="C45" i="13"/>
  <c r="D45" i="13"/>
  <c r="E45" i="13"/>
  <c r="J46" i="13"/>
  <c r="J47" i="13"/>
  <c r="E48" i="13"/>
  <c r="J48" i="13"/>
  <c r="E49" i="13"/>
  <c r="H49" i="13"/>
  <c r="I49" i="13"/>
  <c r="J49" i="13"/>
  <c r="E50" i="13"/>
  <c r="E51" i="13"/>
  <c r="E53" i="13" s="1"/>
  <c r="E52" i="13"/>
  <c r="J52" i="13"/>
  <c r="C53" i="13"/>
  <c r="D53" i="13"/>
  <c r="J53" i="13"/>
  <c r="J54" i="13"/>
  <c r="J55" i="13"/>
  <c r="E56" i="13"/>
  <c r="E63" i="13" s="1"/>
  <c r="H56" i="13"/>
  <c r="I56" i="13"/>
  <c r="E57" i="13"/>
  <c r="E58" i="13"/>
  <c r="E59" i="13"/>
  <c r="E60" i="13"/>
  <c r="E61" i="13"/>
  <c r="E62" i="13"/>
  <c r="C63" i="13"/>
  <c r="D63" i="13"/>
  <c r="C26" i="16" l="1"/>
  <c r="D26" i="16"/>
  <c r="F26" i="16"/>
  <c r="J56" i="13"/>
  <c r="E28" i="16"/>
  <c r="E32" i="13"/>
  <c r="J62" i="13" s="1"/>
  <c r="J60" i="13"/>
  <c r="J6" i="13" s="1"/>
  <c r="J58" i="13"/>
  <c r="J4" i="13" s="1"/>
  <c r="C18" i="12"/>
  <c r="H18" i="12"/>
  <c r="C19" i="12"/>
  <c r="H19" i="12"/>
  <c r="C20" i="12"/>
  <c r="H20" i="12"/>
  <c r="C21" i="12"/>
  <c r="H21" i="12"/>
  <c r="C22" i="12"/>
  <c r="H22" i="12"/>
  <c r="C23" i="12"/>
  <c r="H23" i="12"/>
  <c r="C24" i="12"/>
  <c r="H24" i="12"/>
  <c r="D25" i="12"/>
  <c r="D27" i="12" s="1"/>
  <c r="E25" i="12"/>
  <c r="F25" i="12"/>
  <c r="F27" i="12" s="1"/>
  <c r="G25" i="12"/>
  <c r="H25" i="12"/>
  <c r="E27" i="12"/>
  <c r="G27" i="12"/>
  <c r="J8" i="13" l="1"/>
  <c r="H27" i="12"/>
  <c r="D8" i="7"/>
  <c r="C13" i="7"/>
  <c r="D14" i="7" s="1"/>
  <c r="D18" i="7"/>
  <c r="D19" i="7"/>
  <c r="D20" i="7"/>
  <c r="C21" i="7"/>
  <c r="C42" i="7" s="1"/>
  <c r="D26" i="7"/>
  <c r="B38" i="7"/>
  <c r="C9" i="6"/>
  <c r="C24" i="6" s="1"/>
  <c r="H15" i="6"/>
  <c r="H16" i="6"/>
  <c r="C25" i="6" s="1"/>
  <c r="C22" i="6"/>
  <c r="C23" i="6"/>
  <c r="D21" i="7" l="1"/>
  <c r="D30" i="7" s="1"/>
  <c r="D31" i="7" s="1"/>
  <c r="C39" i="7" s="1"/>
  <c r="C43" i="7" s="1"/>
  <c r="C44" i="7" s="1"/>
  <c r="C45" i="7" s="1"/>
  <c r="C46" i="7" s="1"/>
  <c r="C49" i="7" s="1"/>
  <c r="L4" i="5"/>
  <c r="L5" i="5"/>
  <c r="L11" i="5"/>
  <c r="E12" i="5"/>
  <c r="F12" i="5"/>
  <c r="G12" i="5"/>
  <c r="H12" i="5"/>
  <c r="I12" i="5"/>
  <c r="J12" i="5"/>
  <c r="K12" i="5"/>
  <c r="L12" i="5"/>
  <c r="L13" i="5" s="1"/>
  <c r="L15" i="5" s="1"/>
  <c r="C51" i="7" l="1"/>
  <c r="C50" i="7"/>
</calcChain>
</file>

<file path=xl/sharedStrings.xml><?xml version="1.0" encoding="utf-8"?>
<sst xmlns="http://schemas.openxmlformats.org/spreadsheetml/2006/main" count="459" uniqueCount="321">
  <si>
    <t>Nopalini</t>
  </si>
  <si>
    <t>Precio de venta Nopalini</t>
  </si>
  <si>
    <t>20 Lts</t>
  </si>
  <si>
    <t>1. Determinación de los ingresos esperados por el dueño:</t>
  </si>
  <si>
    <t>No. De socios</t>
  </si>
  <si>
    <t>Mensual</t>
  </si>
  <si>
    <t>Diario</t>
  </si>
  <si>
    <t>Sueldo mensual deseado</t>
  </si>
  <si>
    <t>Ingreso mensual que la empresa debe proporcionar por concepto de ingresos de dueño</t>
  </si>
  <si>
    <t>Ingreso diario que la empresa debe proporcionar por concepto de ingreso de los socios</t>
  </si>
  <si>
    <t>2. Determinación de los salarios que deben pagarse</t>
  </si>
  <si>
    <t>No. De trabajadores</t>
  </si>
  <si>
    <t>Salario mensual</t>
  </si>
  <si>
    <t>Salario mensual que la empresa debe proporcionar</t>
  </si>
  <si>
    <t>Salario diario que la empresa debe proporcionar</t>
  </si>
  <si>
    <t>3. Determinación de los gastos</t>
  </si>
  <si>
    <t>Compañía</t>
  </si>
  <si>
    <t>Energía electrica</t>
  </si>
  <si>
    <t>CFE</t>
  </si>
  <si>
    <t>Telefóno</t>
  </si>
  <si>
    <t>Telmex</t>
  </si>
  <si>
    <t>Internet</t>
  </si>
  <si>
    <t>Total</t>
  </si>
  <si>
    <t>4. Determinación de gastos del local</t>
  </si>
  <si>
    <t>Arriendo + servicio de agua</t>
  </si>
  <si>
    <t>Junta auxiliar</t>
  </si>
  <si>
    <t>5. Determinación de la producción preliminar</t>
  </si>
  <si>
    <t>Suma  de gastos mínimos por día = ingresos mínimos por día</t>
  </si>
  <si>
    <t>Dado que ingreso = P*Q se deduce que Q(Cantidad mínima a producir), P(Ingreso/Precio)</t>
  </si>
  <si>
    <t>6. Determinación del monto de materias primas e insumos básicos para obtener la producción preliminar</t>
  </si>
  <si>
    <t>Empaque (bote)</t>
  </si>
  <si>
    <t>bote</t>
  </si>
  <si>
    <t>Etiqueta</t>
  </si>
  <si>
    <t>pieza</t>
  </si>
  <si>
    <t>Sobtotal</t>
  </si>
  <si>
    <t>Total produccion preliminar</t>
  </si>
  <si>
    <t>7. Determinación del monto de  ingresos mensuales totales mínimos</t>
  </si>
  <si>
    <t>Suma de gastos administrativos</t>
  </si>
  <si>
    <t>Suma costos de producción</t>
  </si>
  <si>
    <t xml:space="preserve">subTotal </t>
  </si>
  <si>
    <t>20% de utilidad esperada</t>
  </si>
  <si>
    <t xml:space="preserve">Total </t>
  </si>
  <si>
    <t>8. Determinación de la venta diaria mínima requerida</t>
  </si>
  <si>
    <t>suma de erogaciones mínimas por día= ingreos mínimos por día</t>
  </si>
  <si>
    <t>Dado que ingreso = P*Q se deduce que Q(cantidad mínima a producir)= Ingreso/precio</t>
  </si>
  <si>
    <t>Conclusion de la cant. De producto mínimo requerido es</t>
  </si>
  <si>
    <t xml:space="preserve">NOTAS: </t>
  </si>
  <si>
    <t>APROBADO</t>
  </si>
  <si>
    <t>Efectivo adelantado</t>
  </si>
  <si>
    <t>Subtotal</t>
  </si>
  <si>
    <t>Varios</t>
  </si>
  <si>
    <t>Gastos representación</t>
  </si>
  <si>
    <t>Teléfono</t>
  </si>
  <si>
    <t>Comidas</t>
  </si>
  <si>
    <t>Combustible</t>
  </si>
  <si>
    <t>Transporte</t>
  </si>
  <si>
    <t>Hotel</t>
  </si>
  <si>
    <t>Descripción</t>
  </si>
  <si>
    <t>Cuenta</t>
  </si>
  <si>
    <t>Fecha</t>
  </si>
  <si>
    <t>Id. de empleado</t>
  </si>
  <si>
    <t>Director</t>
  </si>
  <si>
    <t>Departamento</t>
  </si>
  <si>
    <t>Número de seguridad social</t>
  </si>
  <si>
    <t>Cargo</t>
  </si>
  <si>
    <t>Nombre</t>
  </si>
  <si>
    <t>INFORMACIÓN DE EMPLEADO:</t>
  </si>
  <si>
    <t>Para</t>
  </si>
  <si>
    <t>De</t>
  </si>
  <si>
    <t>PERÍODO DE PAGO:</t>
  </si>
  <si>
    <t>MOTIVO:</t>
  </si>
  <si>
    <t>Informe de gastos</t>
  </si>
  <si>
    <t>Sólo para uso interno</t>
  </si>
  <si>
    <t>Entregado a cuenta:</t>
  </si>
  <si>
    <t>Importe a pagar:</t>
  </si>
  <si>
    <t>Fecha:</t>
  </si>
  <si>
    <t>Nº de albarán:</t>
  </si>
  <si>
    <t>Id. de cliente:</t>
  </si>
  <si>
    <t>Especificar nombre de cliente</t>
  </si>
  <si>
    <t>Nombre de cliente:</t>
  </si>
  <si>
    <t>ENVÍO</t>
  </si>
  <si>
    <r>
      <t xml:space="preserve">Plazos: </t>
    </r>
    <r>
      <rPr>
        <sz val="10"/>
        <color indexed="55"/>
        <rFont val="Calibri"/>
        <family val="2"/>
        <scheme val="minor"/>
      </rPr>
      <t>Saldo pagadero en 30 días.</t>
    </r>
  </si>
  <si>
    <r>
      <t xml:space="preserve">Aviso: </t>
    </r>
    <r>
      <rPr>
        <sz val="10"/>
        <color indexed="55"/>
        <rFont val="Calibri"/>
        <family val="2"/>
        <scheme val="minor"/>
      </rPr>
      <t>Incluya el número de albarán en el cheque.</t>
    </r>
  </si>
  <si>
    <t xml:space="preserve"> Total </t>
  </si>
  <si>
    <t>Saldo</t>
  </si>
  <si>
    <t>Pago</t>
  </si>
  <si>
    <t>Importe</t>
  </si>
  <si>
    <t>Nº de factura</t>
  </si>
  <si>
    <t>Tipo</t>
  </si>
  <si>
    <t>Ciudad, código postal</t>
  </si>
  <si>
    <t>Dirección 2</t>
  </si>
  <si>
    <t>Dirección</t>
  </si>
  <si>
    <t>Especificar Id. de cliente</t>
  </si>
  <si>
    <t>Nombre de compañía</t>
  </si>
  <si>
    <t>Facturar a:</t>
  </si>
  <si>
    <t>Correo electrónico:</t>
  </si>
  <si>
    <t>Fax:</t>
  </si>
  <si>
    <t>Teléfono:</t>
  </si>
  <si>
    <t>(248) 485-5963</t>
  </si>
  <si>
    <t>(222) 302-123</t>
  </si>
  <si>
    <t>nopalini_2k15@outlook.com</t>
  </si>
  <si>
    <t xml:space="preserve">Dirección: Calle la Gloria No. 17 </t>
  </si>
  <si>
    <t>__________________________________________________________________________________________________________</t>
  </si>
  <si>
    <t>Factura</t>
  </si>
  <si>
    <t>Nº de Factura:</t>
  </si>
  <si>
    <t>Especificar número de factura</t>
  </si>
  <si>
    <t>Cliente</t>
  </si>
  <si>
    <t>Producto</t>
  </si>
  <si>
    <t>Firma del director</t>
  </si>
  <si>
    <t>Firma del empleado</t>
  </si>
  <si>
    <t>Pago total</t>
  </si>
  <si>
    <t>Tarifa por hora</t>
  </si>
  <si>
    <t>Total de horas</t>
  </si>
  <si>
    <t>Domingo</t>
  </si>
  <si>
    <t>Sábado</t>
  </si>
  <si>
    <t>Viernes</t>
  </si>
  <si>
    <t>Jueves</t>
  </si>
  <si>
    <t>Miércoles</t>
  </si>
  <si>
    <t>Martes</t>
  </si>
  <si>
    <t>Lunes</t>
  </si>
  <si>
    <t>Vacaciones</t>
  </si>
  <si>
    <t>Enfermedad</t>
  </si>
  <si>
    <t xml:space="preserve">Horas extra </t>
  </si>
  <si>
    <t>Horas normales</t>
  </si>
  <si>
    <t>Día</t>
  </si>
  <si>
    <t>Semana:</t>
  </si>
  <si>
    <t>[Ciudad, Código postal]</t>
  </si>
  <si>
    <t>Correo electrónico del empleado:</t>
  </si>
  <si>
    <t>[Dirección 2]</t>
  </si>
  <si>
    <t>Teléfono del empleado:</t>
  </si>
  <si>
    <t>[Dirección]</t>
  </si>
  <si>
    <t>Director:</t>
  </si>
  <si>
    <t>Empleado</t>
  </si>
  <si>
    <t>Hoja de asistencia</t>
  </si>
  <si>
    <t>Jimena Gomez Matus</t>
  </si>
  <si>
    <t>El ahuehuete de alla no. 25</t>
  </si>
  <si>
    <t>San Juan de las peras</t>
  </si>
  <si>
    <t>Ivette Montserrat García Díaz</t>
  </si>
  <si>
    <t>222-436-3948</t>
  </si>
  <si>
    <t>jimena_lm06@hotmail.com</t>
  </si>
  <si>
    <t>DIFERENCIA DE TOTALES</t>
  </si>
  <si>
    <t>Otros</t>
  </si>
  <si>
    <t>Tasas o cuotas</t>
  </si>
  <si>
    <t>TOTAL DE COSTO REAL</t>
  </si>
  <si>
    <t>Gimnasio</t>
  </si>
  <si>
    <t>Tintorería</t>
  </si>
  <si>
    <t>TOTAL DE COSTO PREVISTO</t>
  </si>
  <si>
    <t>Ropa</t>
  </si>
  <si>
    <t>Pelo y uñas</t>
  </si>
  <si>
    <t>Médico</t>
  </si>
  <si>
    <t>Diferencia</t>
  </si>
  <si>
    <t>Costo real</t>
  </si>
  <si>
    <t>Costo previsto</t>
  </si>
  <si>
    <t>CUIDADO PERSONAL</t>
  </si>
  <si>
    <t>Pagos por retención o fallo</t>
  </si>
  <si>
    <t>Pensión alimenticia</t>
  </si>
  <si>
    <t>Abogado</t>
  </si>
  <si>
    <t>ASESORÍA JURÍDICA</t>
  </si>
  <si>
    <t>Juguetes</t>
  </si>
  <si>
    <t>Arreglos</t>
  </si>
  <si>
    <t>Caridad 3</t>
  </si>
  <si>
    <t>Alimentación</t>
  </si>
  <si>
    <t>Caridad 2</t>
  </si>
  <si>
    <t>ANIMALES</t>
  </si>
  <si>
    <t>Caridad 1</t>
  </si>
  <si>
    <t>REGALOS Y DONATIVOS</t>
  </si>
  <si>
    <t>Restaurantes</t>
  </si>
  <si>
    <t>Comestibles</t>
  </si>
  <si>
    <t>Cuenta de inversión</t>
  </si>
  <si>
    <t>ALIMENTACIÓN</t>
  </si>
  <si>
    <t>Cuenta de jubilación</t>
  </si>
  <si>
    <t>AHORROS O INVERSIONES</t>
  </si>
  <si>
    <t>Vida</t>
  </si>
  <si>
    <t>Salud</t>
  </si>
  <si>
    <t>Local</t>
  </si>
  <si>
    <t>Hogar</t>
  </si>
  <si>
    <t>Estatal</t>
  </si>
  <si>
    <t>SEGUROS</t>
  </si>
  <si>
    <t>Federal</t>
  </si>
  <si>
    <t>IMPUESTOS</t>
  </si>
  <si>
    <t>Mantenimiento</t>
  </si>
  <si>
    <t>Tarjeta de crédito</t>
  </si>
  <si>
    <t>Licencias</t>
  </si>
  <si>
    <t>Seguros</t>
  </si>
  <si>
    <t>Gastos de autobús y taxi</t>
  </si>
  <si>
    <t>Estudiante</t>
  </si>
  <si>
    <t>Pagos de automóvil</t>
  </si>
  <si>
    <t>Personal</t>
  </si>
  <si>
    <t>TRANSPORTE</t>
  </si>
  <si>
    <t>PRÉSTAMOS</t>
  </si>
  <si>
    <t>Suministros</t>
  </si>
  <si>
    <t>Mantenimiento o reparaciones</t>
  </si>
  <si>
    <t>Eliminación de residuos</t>
  </si>
  <si>
    <t>Teatro</t>
  </si>
  <si>
    <t>Cableado</t>
  </si>
  <si>
    <t>Eventos deportivos</t>
  </si>
  <si>
    <t>Agua y alcantarillado</t>
  </si>
  <si>
    <t>Conciertos</t>
  </si>
  <si>
    <t>Gas</t>
  </si>
  <si>
    <t>Películas</t>
  </si>
  <si>
    <t>Electricidad</t>
  </si>
  <si>
    <t>CD</t>
  </si>
  <si>
    <t>Vídeo y DVD</t>
  </si>
  <si>
    <t>Hipoteca o alquiler</t>
  </si>
  <si>
    <t>OCIO</t>
  </si>
  <si>
    <t>VIVIENDA</t>
  </si>
  <si>
    <t>Total de ingresos mensuales</t>
  </si>
  <si>
    <t>DIFERENCIA (Real menos previsto)</t>
  </si>
  <si>
    <t>Ingresos adicionales</t>
  </si>
  <si>
    <t>Ingresos 1</t>
  </si>
  <si>
    <t>INGRESOS MENSUALES REALES</t>
  </si>
  <si>
    <t>SALDO REAL (Ingresos reales menos gastos)</t>
  </si>
  <si>
    <t>SALDO PREVISTO (Ingresos previstos menos gastos)</t>
  </si>
  <si>
    <t>INGRESOS MENSUALES PREVISTOS</t>
  </si>
  <si>
    <t>Presupuesto mensual personal</t>
  </si>
  <si>
    <t>Semana 1</t>
  </si>
  <si>
    <t>Semana 2</t>
  </si>
  <si>
    <t>Semana 3</t>
  </si>
  <si>
    <t>Semana 4</t>
  </si>
  <si>
    <t>Pintura Blanca</t>
  </si>
  <si>
    <t>Benito el cartero</t>
  </si>
  <si>
    <t>Juan Magan</t>
  </si>
  <si>
    <t>Lindsay Lohan</t>
  </si>
  <si>
    <t>Britney Spears</t>
  </si>
  <si>
    <t>Belinda</t>
  </si>
  <si>
    <t>Einstein</t>
  </si>
  <si>
    <t>Alejandro Sainz</t>
  </si>
  <si>
    <t>Ulises Peña</t>
  </si>
  <si>
    <t>Keneth Matus</t>
  </si>
  <si>
    <t>Zenon Lozada</t>
  </si>
  <si>
    <t>Dilan Sampayo</t>
  </si>
  <si>
    <t>Cilthya CCO</t>
  </si>
  <si>
    <t>Andy García</t>
  </si>
  <si>
    <t>Shakira</t>
  </si>
  <si>
    <t>Tom Rider</t>
  </si>
  <si>
    <t>Rihana</t>
  </si>
  <si>
    <t>Marie Curie</t>
  </si>
  <si>
    <t>Frida Kahlo</t>
  </si>
  <si>
    <t>Enrique Peña</t>
  </si>
  <si>
    <t>Cristian Fercho</t>
  </si>
  <si>
    <t>Dulce Maria</t>
  </si>
  <si>
    <t>Ariana Grande</t>
  </si>
  <si>
    <t>Martin Garrix</t>
  </si>
  <si>
    <t>Celia Cruz</t>
  </si>
  <si>
    <t>SUMA</t>
  </si>
  <si>
    <t>TOTAL</t>
  </si>
  <si>
    <t>Nopalini "Un color, una visión y un lugar en el tiempo"</t>
  </si>
  <si>
    <t>RESULTADO antes de intereses e impuestos</t>
  </si>
  <si>
    <t>TOTAL GASTOS DE ESTUCTURA</t>
  </si>
  <si>
    <t>Gastos a distribuir en varios ejercicios</t>
  </si>
  <si>
    <t>GASTOS  A DISTRIBUIR EN VARIOS EJERCICIOS</t>
  </si>
  <si>
    <t>Amortización del inmobiliario</t>
  </si>
  <si>
    <t>AMORTIZACIONES</t>
  </si>
  <si>
    <t>Asesoría</t>
  </si>
  <si>
    <t>GASTOS POR SERVICIOS EXTERNOS</t>
  </si>
  <si>
    <t>Publicidad</t>
  </si>
  <si>
    <t>GASTOS COMERCIALES</t>
  </si>
  <si>
    <t>Salarios +SS</t>
  </si>
  <si>
    <t>GASTOS DE PERSONAL</t>
  </si>
  <si>
    <t>Otros gastos</t>
  </si>
  <si>
    <t>Suministros, servicios y otros gastos</t>
  </si>
  <si>
    <t>Alquiler</t>
  </si>
  <si>
    <t>GASTOS DE EXPLOTACIÓN</t>
  </si>
  <si>
    <t>Gastos de estructura</t>
  </si>
  <si>
    <t>Margen bruto (ingresos-coste de los ingresos)</t>
  </si>
  <si>
    <t>Consumos (Ingresos x18%)</t>
  </si>
  <si>
    <t>Ingresos</t>
  </si>
  <si>
    <t>Prev 3</t>
  </si>
  <si>
    <t>Prev 2.</t>
  </si>
  <si>
    <t>Prev.1</t>
  </si>
  <si>
    <t>Previsión de resultados</t>
  </si>
  <si>
    <t>La previsión de resultados para el negocio es la siguiente</t>
  </si>
  <si>
    <t>Para realizar la previsión de ingresos se ha supuesto tres posibles niveles de ingresos:</t>
  </si>
  <si>
    <t>Estimacion de ressultados</t>
  </si>
  <si>
    <r>
      <t xml:space="preserve">Esto supone una facturación  anual  de $91733.33. Por tanto, la facturación media mensual para mantener este negocio es de  </t>
    </r>
    <r>
      <rPr>
        <sz val="11"/>
        <color rgb="FFFF0000"/>
        <rFont val="Calibri"/>
        <family val="2"/>
        <scheme val="minor"/>
      </rPr>
      <t>$7644.44</t>
    </r>
  </si>
  <si>
    <t>Umbral de rentabilidad</t>
  </si>
  <si>
    <t>Margen bruto sobre ventas</t>
  </si>
  <si>
    <t>Total de gastos fijos estimados</t>
  </si>
  <si>
    <t>Amortización del inmovilizado material</t>
  </si>
  <si>
    <t>SS</t>
  </si>
  <si>
    <t>Sueldos</t>
  </si>
  <si>
    <t>Costo</t>
  </si>
  <si>
    <t>Gastos</t>
  </si>
  <si>
    <t>Total anual</t>
  </si>
  <si>
    <t>Gastos de constitucion y puesta en marcha</t>
  </si>
  <si>
    <t>Adecuación del local</t>
  </si>
  <si>
    <t>Renta del local</t>
  </si>
  <si>
    <t>Equipo informático Laptop Gateway 14", impresora HP)</t>
  </si>
  <si>
    <t>Equipamiento,  herramientas útiles</t>
  </si>
  <si>
    <t>Elemento de transporte (Nissan2ble cabina NP300, 2015)</t>
  </si>
  <si>
    <t>Mobiliario y decoración</t>
  </si>
  <si>
    <t>Aire acondicionado</t>
  </si>
  <si>
    <t>Cuota anual amortización</t>
  </si>
  <si>
    <t>%Amortización</t>
  </si>
  <si>
    <t>Inversión</t>
  </si>
  <si>
    <t>Concepto</t>
  </si>
  <si>
    <t>La amortización anual del inmovilizado material se ha estimado del modo siguiente:</t>
  </si>
  <si>
    <t>Amortización</t>
  </si>
  <si>
    <t>Empleados 4</t>
  </si>
  <si>
    <t>Gerente</t>
  </si>
  <si>
    <t>Coste mensual</t>
  </si>
  <si>
    <t>S.S a cargo empresa</t>
  </si>
  <si>
    <t>Sueldo/mes</t>
  </si>
  <si>
    <t>Puesto de trabajo</t>
  </si>
  <si>
    <t>Gasto de personal</t>
  </si>
  <si>
    <t>Equipamiento,  herramientas y útiles</t>
  </si>
  <si>
    <t>$ Incluye Iva</t>
  </si>
  <si>
    <t>Inversión inicial necesaria para llevar a cabo este proyecto, incluye IVA</t>
  </si>
  <si>
    <t>Teléfono e Internet</t>
  </si>
  <si>
    <t>Luz</t>
  </si>
  <si>
    <t>Agua</t>
  </si>
  <si>
    <t>3 Meses</t>
  </si>
  <si>
    <t>Pagos mensuales</t>
  </si>
  <si>
    <t>Pagos Mensuales</t>
  </si>
  <si>
    <t>Además habría que incluir la cuota préstamo en caso de que la inversión se realizase mediante financiación ajena.</t>
  </si>
  <si>
    <t>A la hora de estimar el fondo de maniobra se ha considerado una cantidad suficiente para hacer frente a los pagos durante los 3 primeros meses, esto es: Alquiler, sueldos, seguridad social, suministros, asesoría, publicidad, etc.</t>
  </si>
  <si>
    <t>Fondo de maniobra</t>
  </si>
  <si>
    <t>Nopalini "Imaginando, creando.. Pintando a México"</t>
  </si>
  <si>
    <t>Renta</t>
  </si>
  <si>
    <t>/</t>
  </si>
  <si>
    <t>Toltal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</si>
</sst>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-* #,##0.00\ &quot;€&quot;_-;\-* #,##0.00\ &quot;€&quot;_-;_-* &quot;-&quot;??\ &quot;€&quot;_-;_-@_-"/>
    <numFmt numFmtId="165" formatCode="[$-C0A]d\-mmm\-yy;@"/>
    <numFmt numFmtId="166" formatCode="d/m/yyyy;;"/>
    <numFmt numFmtId="167" formatCode="#,##0.00\ &quot;€&quot;_);\(#,##0.00\ &quot;€&quot;\)"/>
    <numFmt numFmtId="168" formatCode="[$-C0A]d\ \d\e\ mmmm\ \d\e\ yy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sz val="10"/>
      <color indexed="63"/>
      <name val="Calibri"/>
      <family val="1"/>
      <scheme val="minor"/>
    </font>
    <font>
      <b/>
      <sz val="10"/>
      <color indexed="63"/>
      <name val="Calibri"/>
      <family val="1"/>
      <scheme val="minor"/>
    </font>
    <font>
      <b/>
      <sz val="9"/>
      <color indexed="23"/>
      <name val="Calibri"/>
      <family val="1"/>
      <scheme val="minor"/>
    </font>
    <font>
      <sz val="9"/>
      <color indexed="63"/>
      <name val="Calibri"/>
      <family val="1"/>
      <scheme val="minor"/>
    </font>
    <font>
      <sz val="23"/>
      <color theme="3"/>
      <name val="Cambria"/>
      <family val="2"/>
      <scheme val="major"/>
    </font>
    <font>
      <i/>
      <sz val="10"/>
      <color indexed="63"/>
      <name val="Calibri"/>
      <family val="1"/>
      <scheme val="minor"/>
    </font>
    <font>
      <sz val="10"/>
      <color theme="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10"/>
      <color indexed="55"/>
      <name val="Calibri"/>
      <family val="2"/>
      <scheme val="minor"/>
    </font>
    <font>
      <b/>
      <i/>
      <sz val="14"/>
      <color indexed="5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2" tint="-0.64998321481978816"/>
      <name val="Calibri"/>
      <family val="2"/>
      <scheme val="minor"/>
    </font>
    <font>
      <sz val="10"/>
      <color indexed="2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23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sz val="11"/>
      <color theme="2" tint="-0.64998321481978816"/>
      <name val="Calibri"/>
      <family val="2"/>
      <scheme val="minor"/>
    </font>
    <font>
      <sz val="23"/>
      <color theme="9" tint="0.39997558519241921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0"/>
      <color indexed="63"/>
      <name val="Cambria"/>
      <family val="1"/>
      <scheme val="major"/>
    </font>
    <font>
      <sz val="30"/>
      <color indexed="63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48"/>
      <color theme="6" tint="0.3999755851924192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auto="1"/>
      </patternFill>
    </fill>
    <fill>
      <patternFill patternType="solid">
        <fgColor theme="3" tint="0.79998168889431442"/>
        <bgColor indexed="65"/>
      </patternFill>
    </fill>
    <fill>
      <patternFill patternType="solid">
        <fgColor theme="5" tint="0.39994506668294322"/>
        <bgColor theme="5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theme="5" tint="-0.249977111117893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</patternFill>
    </fill>
    <fill>
      <patternFill patternType="solid">
        <fgColor theme="9"/>
        <bgColor theme="9"/>
      </patternFill>
    </fill>
    <fill>
      <patternFill patternType="solid">
        <fgColor theme="4" tint="0.59996337778862885"/>
        <bgColor indexed="65"/>
      </patternFill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rgb="FFB5EDB5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theme="2"/>
      </right>
      <top style="thin">
        <color indexed="22"/>
      </top>
      <bottom style="thin">
        <color theme="2"/>
      </bottom>
      <diagonal/>
    </border>
    <border>
      <left/>
      <right/>
      <top style="thin">
        <color indexed="22"/>
      </top>
      <bottom style="thin">
        <color theme="2"/>
      </bottom>
      <diagonal/>
    </border>
    <border>
      <left style="thin">
        <color theme="2"/>
      </left>
      <right/>
      <top style="thin">
        <color indexed="22"/>
      </top>
      <bottom style="thin">
        <color theme="2"/>
      </bottom>
      <diagonal/>
    </border>
    <border>
      <left/>
      <right style="thin">
        <color theme="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2"/>
      </left>
      <right/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2"/>
      </left>
      <right/>
      <top/>
      <bottom style="thin">
        <color indexed="2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theme="5" tint="0.59999389629810485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9" tint="0.39997558519241921"/>
      </top>
      <bottom style="thin">
        <color indexed="23"/>
      </bottom>
      <diagonal/>
    </border>
    <border>
      <left style="thin">
        <color indexed="23"/>
      </left>
      <right/>
      <top style="thin">
        <color theme="9" tint="0.39997558519241921"/>
      </top>
      <bottom style="thin">
        <color indexed="2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21" fillId="0" borderId="0" applyNumberFormat="0" applyFill="0" applyBorder="0" applyAlignment="0" applyProtection="0"/>
    <xf numFmtId="0" fontId="13" fillId="0" borderId="0"/>
    <xf numFmtId="164" fontId="27" fillId="0" borderId="0" applyFont="0" applyFill="0" applyBorder="0" applyAlignment="0" applyProtection="0"/>
    <xf numFmtId="0" fontId="37" fillId="0" borderId="0"/>
  </cellStyleXfs>
  <cellXfs count="25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2" applyFont="1"/>
    <xf numFmtId="0" fontId="7" fillId="0" borderId="12" xfId="2" applyFont="1" applyBorder="1" applyAlignment="1"/>
    <xf numFmtId="0" fontId="6" fillId="0" borderId="0" xfId="2" applyFont="1" applyBorder="1" applyAlignment="1">
      <alignment horizontal="center"/>
    </xf>
    <xf numFmtId="0" fontId="6" fillId="0" borderId="12" xfId="2" applyFont="1" applyBorder="1" applyAlignment="1"/>
    <xf numFmtId="164" fontId="6" fillId="4" borderId="13" xfId="2" applyNumberFormat="1" applyFont="1" applyFill="1" applyBorder="1" applyAlignment="1">
      <alignment horizontal="center"/>
    </xf>
    <xf numFmtId="0" fontId="8" fillId="0" borderId="0" xfId="2" applyFont="1" applyAlignment="1">
      <alignment horizontal="right"/>
    </xf>
    <xf numFmtId="0" fontId="9" fillId="0" borderId="0" xfId="2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8" fillId="0" borderId="0" xfId="2" applyFont="1" applyBorder="1" applyAlignment="1">
      <alignment horizontal="right"/>
    </xf>
    <xf numFmtId="164" fontId="6" fillId="0" borderId="0" xfId="2" applyNumberFormat="1" applyFont="1"/>
    <xf numFmtId="0" fontId="6" fillId="0" borderId="0" xfId="2" applyFont="1" applyAlignment="1">
      <alignment wrapText="1"/>
    </xf>
    <xf numFmtId="165" fontId="6" fillId="0" borderId="0" xfId="2" applyNumberFormat="1" applyFont="1"/>
    <xf numFmtId="0" fontId="6" fillId="0" borderId="0" xfId="2" applyFont="1" applyAlignment="1">
      <alignment horizontal="center" vertical="center"/>
    </xf>
    <xf numFmtId="0" fontId="6" fillId="0" borderId="0" xfId="2" applyFont="1" applyBorder="1"/>
    <xf numFmtId="14" fontId="6" fillId="0" borderId="0" xfId="2" applyNumberFormat="1" applyFont="1" applyBorder="1" applyAlignment="1"/>
    <xf numFmtId="0" fontId="10" fillId="0" borderId="0" xfId="2" applyFont="1" applyBorder="1" applyAlignment="1">
      <alignment horizontal="right" wrapText="1"/>
    </xf>
    <xf numFmtId="0" fontId="7" fillId="0" borderId="0" xfId="2" applyFont="1"/>
    <xf numFmtId="0" fontId="7" fillId="0" borderId="0" xfId="2" applyFont="1" applyBorder="1"/>
    <xf numFmtId="0" fontId="8" fillId="0" borderId="0" xfId="2" applyFont="1" applyBorder="1"/>
    <xf numFmtId="0" fontId="9" fillId="0" borderId="0" xfId="2" applyFont="1" applyBorder="1" applyAlignment="1"/>
    <xf numFmtId="166" fontId="7" fillId="5" borderId="11" xfId="2" applyNumberFormat="1" applyFont="1" applyFill="1" applyBorder="1" applyAlignment="1">
      <alignment horizontal="center"/>
    </xf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right" wrapText="1"/>
    </xf>
    <xf numFmtId="0" fontId="9" fillId="0" borderId="0" xfId="2" applyFont="1" applyBorder="1" applyAlignment="1">
      <alignment horizontal="right" wrapText="1"/>
    </xf>
    <xf numFmtId="0" fontId="6" fillId="0" borderId="0" xfId="2"/>
    <xf numFmtId="0" fontId="9" fillId="0" borderId="0" xfId="2" applyFont="1" applyBorder="1" applyAlignment="1">
      <alignment wrapText="1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>
      <alignment vertical="center"/>
    </xf>
    <xf numFmtId="0" fontId="1" fillId="0" borderId="0" xfId="0" applyFont="1"/>
    <xf numFmtId="0" fontId="13" fillId="0" borderId="0" xfId="0" applyFont="1"/>
    <xf numFmtId="0" fontId="13" fillId="0" borderId="15" xfId="0" applyFont="1" applyBorder="1"/>
    <xf numFmtId="167" fontId="13" fillId="0" borderId="16" xfId="0" applyNumberFormat="1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13" fillId="0" borderId="18" xfId="0" applyFont="1" applyBorder="1"/>
    <xf numFmtId="167" fontId="13" fillId="0" borderId="19" xfId="0" applyNumberFormat="1" applyFont="1" applyBorder="1" applyAlignment="1">
      <alignment horizontal="left"/>
    </xf>
    <xf numFmtId="0" fontId="14" fillId="0" borderId="20" xfId="0" applyFont="1" applyBorder="1" applyAlignment="1">
      <alignment horizontal="left"/>
    </xf>
    <xf numFmtId="168" fontId="13" fillId="0" borderId="19" xfId="0" applyNumberFormat="1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21" xfId="0" applyFont="1" applyBorder="1"/>
    <xf numFmtId="0" fontId="13" fillId="0" borderId="22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2" fillId="6" borderId="24" xfId="0" applyFont="1" applyFill="1" applyBorder="1"/>
    <xf numFmtId="0" fontId="2" fillId="6" borderId="0" xfId="0" applyFont="1" applyFill="1" applyBorder="1"/>
    <xf numFmtId="0" fontId="2" fillId="6" borderId="25" xfId="0" applyFont="1" applyFill="1" applyBorder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/>
    <xf numFmtId="164" fontId="13" fillId="0" borderId="0" xfId="0" applyNumberFormat="1" applyFont="1" applyBorder="1"/>
    <xf numFmtId="164" fontId="13" fillId="0" borderId="0" xfId="0" applyNumberFormat="1" applyFont="1"/>
    <xf numFmtId="164" fontId="1" fillId="0" borderId="0" xfId="0" applyNumberFormat="1" applyFont="1"/>
    <xf numFmtId="14" fontId="1" fillId="0" borderId="0" xfId="0" applyNumberFormat="1" applyFont="1" applyBorder="1"/>
    <xf numFmtId="164" fontId="13" fillId="0" borderId="0" xfId="0" applyNumberFormat="1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shrinkToFit="1"/>
    </xf>
    <xf numFmtId="0" fontId="13" fillId="0" borderId="0" xfId="0" applyFont="1" applyAlignment="1"/>
    <xf numFmtId="0" fontId="1" fillId="0" borderId="0" xfId="0" applyFont="1" applyAlignment="1">
      <alignment horizontal="left" indent="1"/>
    </xf>
    <xf numFmtId="0" fontId="16" fillId="0" borderId="0" xfId="0" applyFont="1" applyAlignment="1">
      <alignment horizontal="right"/>
    </xf>
    <xf numFmtId="168" fontId="1" fillId="0" borderId="0" xfId="0" applyNumberFormat="1" applyFont="1" applyAlignment="1">
      <alignment horizontal="left" indent="1"/>
    </xf>
    <xf numFmtId="168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/>
    <xf numFmtId="0" fontId="13" fillId="0" borderId="0" xfId="0" applyFont="1" applyAlignment="1">
      <alignment horizontal="left" indent="1"/>
    </xf>
    <xf numFmtId="49" fontId="13" fillId="0" borderId="0" xfId="0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3"/>
    <xf numFmtId="0" fontId="5" fillId="0" borderId="0" xfId="0" applyFont="1"/>
    <xf numFmtId="44" fontId="6" fillId="0" borderId="0" xfId="1" applyFont="1" applyBorder="1"/>
    <xf numFmtId="44" fontId="6" fillId="4" borderId="13" xfId="1" applyFont="1" applyFill="1" applyBorder="1" applyAlignment="1">
      <alignment horizontal="center"/>
    </xf>
    <xf numFmtId="166" fontId="12" fillId="7" borderId="11" xfId="2" applyNumberFormat="1" applyFont="1" applyFill="1" applyBorder="1" applyAlignment="1">
      <alignment horizontal="left"/>
    </xf>
    <xf numFmtId="166" fontId="12" fillId="0" borderId="11" xfId="2" applyNumberFormat="1" applyFont="1" applyFill="1" applyBorder="1" applyAlignment="1"/>
    <xf numFmtId="0" fontId="7" fillId="0" borderId="0" xfId="2" applyFont="1" applyBorder="1" applyAlignment="1"/>
    <xf numFmtId="0" fontId="9" fillId="0" borderId="0" xfId="2" applyFont="1" applyBorder="1" applyAlignment="1">
      <alignment horizontal="left"/>
    </xf>
    <xf numFmtId="0" fontId="7" fillId="0" borderId="0" xfId="2" applyFont="1" applyAlignment="1"/>
    <xf numFmtId="44" fontId="13" fillId="0" borderId="19" xfId="1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wrapText="1"/>
    </xf>
    <xf numFmtId="164" fontId="0" fillId="0" borderId="0" xfId="0" applyNumberFormat="1" applyFont="1"/>
    <xf numFmtId="0" fontId="4" fillId="8" borderId="26" xfId="0" applyNumberFormat="1" applyFont="1" applyFill="1" applyBorder="1" applyAlignment="1">
      <alignment wrapText="1"/>
    </xf>
    <xf numFmtId="0" fontId="13" fillId="0" borderId="0" xfId="4" applyFont="1"/>
    <xf numFmtId="0" fontId="23" fillId="0" borderId="12" xfId="4" applyFont="1" applyBorder="1" applyAlignment="1">
      <alignment horizontal="left" vertical="center"/>
    </xf>
    <xf numFmtId="0" fontId="24" fillId="0" borderId="0" xfId="4" applyFont="1"/>
    <xf numFmtId="0" fontId="24" fillId="0" borderId="12" xfId="4" applyFont="1" applyBorder="1" applyAlignment="1">
      <alignment vertical="center"/>
    </xf>
    <xf numFmtId="0" fontId="23" fillId="0" borderId="12" xfId="4" applyFont="1" applyBorder="1" applyAlignment="1">
      <alignment vertical="center"/>
    </xf>
    <xf numFmtId="0" fontId="25" fillId="0" borderId="0" xfId="4" applyFont="1"/>
    <xf numFmtId="14" fontId="13" fillId="0" borderId="11" xfId="4" applyNumberFormat="1" applyFont="1" applyBorder="1" applyAlignment="1">
      <alignment horizontal="left"/>
    </xf>
    <xf numFmtId="0" fontId="26" fillId="0" borderId="0" xfId="4" applyFont="1" applyBorder="1" applyAlignment="1">
      <alignment vertical="center"/>
    </xf>
    <xf numFmtId="0" fontId="23" fillId="0" borderId="0" xfId="4" applyFont="1" applyBorder="1" applyAlignment="1">
      <alignment vertical="center"/>
    </xf>
    <xf numFmtId="0" fontId="25" fillId="0" borderId="0" xfId="4" applyFont="1" applyFill="1" applyBorder="1" applyAlignment="1">
      <alignment horizontal="left"/>
    </xf>
    <xf numFmtId="0" fontId="20" fillId="3" borderId="14" xfId="4" applyFont="1" applyFill="1" applyBorder="1" applyAlignment="1">
      <alignment vertical="center"/>
    </xf>
    <xf numFmtId="0" fontId="20" fillId="3" borderId="29" xfId="4" applyFont="1" applyFill="1" applyBorder="1" applyAlignment="1">
      <alignment vertical="center" wrapText="1"/>
    </xf>
    <xf numFmtId="164" fontId="13" fillId="10" borderId="29" xfId="5" applyNumberFormat="1" applyFont="1" applyFill="1" applyBorder="1" applyAlignment="1">
      <alignment horizontal="center" vertical="center"/>
    </xf>
    <xf numFmtId="164" fontId="13" fillId="10" borderId="28" xfId="4" applyNumberFormat="1" applyFont="1" applyFill="1" applyBorder="1" applyAlignment="1">
      <alignment horizontal="center" vertical="center"/>
    </xf>
    <xf numFmtId="2" fontId="20" fillId="3" borderId="30" xfId="4" applyNumberFormat="1" applyFont="1" applyFill="1" applyBorder="1" applyAlignment="1">
      <alignment horizontal="center" vertical="center"/>
    </xf>
    <xf numFmtId="2" fontId="20" fillId="3" borderId="31" xfId="4" applyNumberFormat="1" applyFont="1" applyFill="1" applyBorder="1" applyAlignment="1">
      <alignment horizontal="center" vertical="center"/>
    </xf>
    <xf numFmtId="0" fontId="20" fillId="3" borderId="11" xfId="4" applyFont="1" applyFill="1" applyBorder="1" applyAlignment="1">
      <alignment vertical="center"/>
    </xf>
    <xf numFmtId="0" fontId="20" fillId="3" borderId="32" xfId="4" applyFont="1" applyFill="1" applyBorder="1" applyAlignment="1">
      <alignment vertical="center" wrapText="1"/>
    </xf>
    <xf numFmtId="2" fontId="13" fillId="9" borderId="33" xfId="4" applyNumberFormat="1" applyFont="1" applyFill="1" applyBorder="1" applyAlignment="1">
      <alignment horizontal="center" vertical="center"/>
    </xf>
    <xf numFmtId="2" fontId="13" fillId="9" borderId="29" xfId="4" applyNumberFormat="1" applyFont="1" applyFill="1" applyBorder="1" applyAlignment="1">
      <alignment horizontal="center" vertical="center"/>
    </xf>
    <xf numFmtId="2" fontId="13" fillId="9" borderId="28" xfId="4" applyNumberFormat="1" applyFont="1" applyFill="1" applyBorder="1" applyAlignment="1">
      <alignment horizontal="center" vertical="center"/>
    </xf>
    <xf numFmtId="14" fontId="13" fillId="9" borderId="29" xfId="4" applyNumberFormat="1" applyFont="1" applyFill="1" applyBorder="1" applyAlignment="1">
      <alignment horizontal="left" vertical="center"/>
    </xf>
    <xf numFmtId="0" fontId="20" fillId="9" borderId="29" xfId="4" applyFont="1" applyFill="1" applyBorder="1" applyAlignment="1">
      <alignment horizontal="left" vertical="center" wrapText="1"/>
    </xf>
    <xf numFmtId="2" fontId="13" fillId="0" borderId="33" xfId="4" applyNumberFormat="1" applyFont="1" applyBorder="1" applyAlignment="1">
      <alignment horizontal="center" vertical="center"/>
    </xf>
    <xf numFmtId="2" fontId="13" fillId="0" borderId="34" xfId="4" applyNumberFormat="1" applyFont="1" applyBorder="1" applyAlignment="1">
      <alignment horizontal="center" vertical="center"/>
    </xf>
    <xf numFmtId="14" fontId="13" fillId="0" borderId="34" xfId="4" applyNumberFormat="1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 wrapText="1"/>
    </xf>
    <xf numFmtId="2" fontId="13" fillId="9" borderId="34" xfId="4" applyNumberFormat="1" applyFont="1" applyFill="1" applyBorder="1" applyAlignment="1">
      <alignment horizontal="center" vertical="center"/>
    </xf>
    <xf numFmtId="14" fontId="13" fillId="9" borderId="34" xfId="4" applyNumberFormat="1" applyFont="1" applyFill="1" applyBorder="1" applyAlignment="1">
      <alignment horizontal="left" vertical="center"/>
    </xf>
    <xf numFmtId="0" fontId="20" fillId="9" borderId="34" xfId="4" applyFont="1" applyFill="1" applyBorder="1" applyAlignment="1">
      <alignment horizontal="left" vertical="center" wrapText="1"/>
    </xf>
    <xf numFmtId="2" fontId="13" fillId="0" borderId="29" xfId="4" applyNumberFormat="1" applyFont="1" applyBorder="1" applyAlignment="1">
      <alignment horizontal="center" vertical="center"/>
    </xf>
    <xf numFmtId="2" fontId="13" fillId="0" borderId="28" xfId="4" applyNumberFormat="1" applyFont="1" applyBorder="1" applyAlignment="1">
      <alignment horizontal="center" vertical="center"/>
    </xf>
    <xf numFmtId="14" fontId="13" fillId="0" borderId="29" xfId="4" applyNumberFormat="1" applyFont="1" applyBorder="1" applyAlignment="1">
      <alignment horizontal="left" vertical="center"/>
    </xf>
    <xf numFmtId="0" fontId="20" fillId="0" borderId="29" xfId="4" applyFont="1" applyBorder="1" applyAlignment="1">
      <alignment horizontal="left" vertical="center" wrapText="1"/>
    </xf>
    <xf numFmtId="0" fontId="28" fillId="11" borderId="28" xfId="4" applyFont="1" applyFill="1" applyBorder="1" applyAlignment="1">
      <alignment horizontal="center" vertical="center" wrapText="1"/>
    </xf>
    <xf numFmtId="0" fontId="28" fillId="11" borderId="29" xfId="4" applyFont="1" applyFill="1" applyBorder="1" applyAlignment="1">
      <alignment horizontal="center" vertical="center" wrapText="1"/>
    </xf>
    <xf numFmtId="0" fontId="28" fillId="11" borderId="29" xfId="4" applyFont="1" applyFill="1" applyBorder="1" applyAlignment="1">
      <alignment vertical="center" wrapText="1"/>
    </xf>
    <xf numFmtId="0" fontId="13" fillId="0" borderId="0" xfId="4" applyFont="1" applyBorder="1"/>
    <xf numFmtId="14" fontId="13" fillId="0" borderId="0" xfId="4" applyNumberFormat="1" applyFont="1" applyBorder="1" applyAlignment="1">
      <alignment horizontal="left"/>
    </xf>
    <xf numFmtId="0" fontId="24" fillId="0" borderId="0" xfId="4" applyFont="1" applyAlignment="1">
      <alignment horizontal="left"/>
    </xf>
    <xf numFmtId="14" fontId="13" fillId="0" borderId="0" xfId="4" applyNumberFormat="1" applyFont="1" applyBorder="1" applyAlignment="1"/>
    <xf numFmtId="14" fontId="13" fillId="0" borderId="0" xfId="4" applyNumberFormat="1" applyFont="1" applyBorder="1" applyAlignment="1">
      <alignment horizontal="center"/>
    </xf>
    <xf numFmtId="0" fontId="23" fillId="0" borderId="0" xfId="4" applyFont="1" applyBorder="1" applyAlignment="1">
      <alignment horizontal="left" wrapText="1"/>
    </xf>
    <xf numFmtId="0" fontId="13" fillId="0" borderId="0" xfId="4" applyFont="1" applyBorder="1" applyAlignment="1">
      <alignment horizontal="left"/>
    </xf>
    <xf numFmtId="0" fontId="24" fillId="0" borderId="0" xfId="4" applyFont="1" applyBorder="1"/>
    <xf numFmtId="0" fontId="24" fillId="0" borderId="0" xfId="4" applyFont="1" applyBorder="1" applyAlignment="1">
      <alignment horizontal="center"/>
    </xf>
    <xf numFmtId="0" fontId="13" fillId="0" borderId="0" xfId="4" applyFont="1" applyBorder="1" applyAlignment="1"/>
    <xf numFmtId="0" fontId="24" fillId="0" borderId="0" xfId="4" applyFont="1" applyBorder="1" applyAlignment="1">
      <alignment horizontal="left"/>
    </xf>
    <xf numFmtId="0" fontId="24" fillId="0" borderId="0" xfId="4" applyFont="1" applyFill="1"/>
    <xf numFmtId="0" fontId="23" fillId="0" borderId="0" xfId="4" applyFont="1" applyFill="1" applyBorder="1" applyAlignment="1">
      <alignment wrapText="1"/>
    </xf>
    <xf numFmtId="0" fontId="13" fillId="0" borderId="0" xfId="4"/>
    <xf numFmtId="0" fontId="23" fillId="0" borderId="0" xfId="4" applyFont="1" applyBorder="1" applyAlignment="1">
      <alignment wrapText="1"/>
    </xf>
    <xf numFmtId="0" fontId="29" fillId="0" borderId="0" xfId="4" applyFont="1" applyBorder="1" applyAlignment="1">
      <alignment wrapText="1"/>
    </xf>
    <xf numFmtId="0" fontId="30" fillId="0" borderId="0" xfId="4" applyFont="1" applyAlignment="1">
      <alignment horizontal="right"/>
    </xf>
    <xf numFmtId="44" fontId="20" fillId="3" borderId="28" xfId="1" applyFont="1" applyFill="1" applyBorder="1" applyAlignment="1">
      <alignment horizontal="center" vertical="center"/>
    </xf>
    <xf numFmtId="44" fontId="20" fillId="3" borderId="29" xfId="1" applyFont="1" applyFill="1" applyBorder="1" applyAlignment="1">
      <alignment horizontal="center" vertical="center"/>
    </xf>
    <xf numFmtId="44" fontId="32" fillId="0" borderId="0" xfId="1" applyFont="1" applyAlignment="1">
      <alignment horizontal="left"/>
    </xf>
    <xf numFmtId="44" fontId="36" fillId="0" borderId="0" xfId="1" applyFont="1" applyBorder="1" applyAlignment="1">
      <alignment horizontal="left" wrapText="1"/>
    </xf>
    <xf numFmtId="44" fontId="32" fillId="0" borderId="0" xfId="1" applyFont="1" applyAlignment="1">
      <alignment horizontal="left" vertical="center"/>
    </xf>
    <xf numFmtId="44" fontId="13" fillId="0" borderId="0" xfId="1" applyFont="1"/>
    <xf numFmtId="44" fontId="32" fillId="0" borderId="0" xfId="1" applyFont="1" applyBorder="1" applyAlignment="1">
      <alignment horizontal="left" vertical="center"/>
    </xf>
    <xf numFmtId="44" fontId="31" fillId="0" borderId="0" xfId="1" applyFont="1" applyBorder="1" applyAlignment="1">
      <alignment horizontal="left" vertical="center" wrapText="1"/>
    </xf>
    <xf numFmtId="44" fontId="31" fillId="0" borderId="0" xfId="1" applyFont="1" applyBorder="1" applyAlignment="1">
      <alignment vertical="center" wrapText="1"/>
    </xf>
    <xf numFmtId="44" fontId="31" fillId="13" borderId="0" xfId="1" applyFont="1" applyFill="1" applyBorder="1" applyAlignment="1">
      <alignment vertical="center" wrapText="1"/>
    </xf>
    <xf numFmtId="44" fontId="32" fillId="13" borderId="0" xfId="1" applyFont="1" applyFill="1" applyBorder="1" applyAlignment="1">
      <alignment horizontal="left" vertical="center"/>
    </xf>
    <xf numFmtId="44" fontId="32" fillId="12" borderId="35" xfId="1" applyFont="1" applyFill="1" applyBorder="1" applyAlignment="1">
      <alignment horizontal="right" vertical="center"/>
    </xf>
    <xf numFmtId="44" fontId="31" fillId="2" borderId="35" xfId="1" applyFont="1" applyFill="1" applyBorder="1" applyAlignment="1">
      <alignment horizontal="right" vertical="center"/>
    </xf>
    <xf numFmtId="44" fontId="32" fillId="0" borderId="0" xfId="1" applyFont="1" applyBorder="1" applyAlignment="1">
      <alignment horizontal="left" vertical="center" wrapText="1"/>
    </xf>
    <xf numFmtId="44" fontId="32" fillId="13" borderId="0" xfId="1" applyFont="1" applyFill="1" applyBorder="1" applyAlignment="1">
      <alignment horizontal="left" vertical="center" wrapText="1"/>
    </xf>
    <xf numFmtId="44" fontId="31" fillId="13" borderId="0" xfId="1" applyFont="1" applyFill="1" applyBorder="1" applyAlignment="1">
      <alignment horizontal="left" vertical="center"/>
    </xf>
    <xf numFmtId="44" fontId="31" fillId="13" borderId="0" xfId="1" applyFont="1" applyFill="1" applyBorder="1" applyAlignment="1">
      <alignment horizontal="left" vertical="center" wrapText="1"/>
    </xf>
    <xf numFmtId="44" fontId="31" fillId="13" borderId="0" xfId="1" applyFont="1" applyFill="1" applyBorder="1" applyAlignment="1">
      <alignment horizontal="center" vertical="center"/>
    </xf>
    <xf numFmtId="44" fontId="33" fillId="0" borderId="38" xfId="1" applyFont="1" applyFill="1" applyBorder="1"/>
    <xf numFmtId="44" fontId="33" fillId="0" borderId="37" xfId="1" applyFont="1" applyFill="1" applyBorder="1"/>
    <xf numFmtId="44" fontId="33" fillId="0" borderId="36" xfId="1" applyFont="1" applyFill="1" applyBorder="1"/>
    <xf numFmtId="44" fontId="34" fillId="0" borderId="0" xfId="1" applyFont="1" applyFill="1" applyBorder="1" applyAlignment="1">
      <alignment horizontal="left" vertical="center" wrapText="1"/>
    </xf>
    <xf numFmtId="44" fontId="33" fillId="0" borderId="38" xfId="1" applyFont="1" applyFill="1" applyBorder="1" applyAlignment="1">
      <alignment shrinkToFit="1"/>
    </xf>
    <xf numFmtId="44" fontId="33" fillId="0" borderId="36" xfId="1" applyFont="1" applyFill="1" applyBorder="1" applyAlignment="1">
      <alignment horizontal="right" vertical="center"/>
    </xf>
    <xf numFmtId="44" fontId="33" fillId="0" borderId="0" xfId="1" applyFont="1" applyFill="1" applyAlignment="1">
      <alignment horizontal="left" vertical="center"/>
    </xf>
    <xf numFmtId="44" fontId="34" fillId="0" borderId="37" xfId="1" applyFont="1" applyFill="1" applyBorder="1"/>
    <xf numFmtId="44" fontId="32" fillId="0" borderId="0" xfId="1" applyFont="1" applyFill="1" applyAlignment="1">
      <alignment horizontal="left" vertical="center"/>
    </xf>
    <xf numFmtId="44" fontId="0" fillId="0" borderId="0" xfId="1" applyFont="1"/>
    <xf numFmtId="44" fontId="0" fillId="0" borderId="0" xfId="0" applyNumberFormat="1" applyFont="1"/>
    <xf numFmtId="0" fontId="3" fillId="0" borderId="0" xfId="0" applyFont="1"/>
    <xf numFmtId="44" fontId="3" fillId="0" borderId="0" xfId="1" applyFont="1"/>
    <xf numFmtId="164" fontId="38" fillId="14" borderId="0" xfId="0" applyNumberFormat="1" applyFont="1" applyFill="1"/>
    <xf numFmtId="44" fontId="38" fillId="14" borderId="0" xfId="1" applyFont="1" applyFill="1"/>
    <xf numFmtId="0" fontId="22" fillId="0" borderId="0" xfId="4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0" borderId="0" xfId="2" applyFont="1" applyBorder="1" applyAlignment="1">
      <alignment horizontal="left" vertical="top"/>
    </xf>
    <xf numFmtId="0" fontId="7" fillId="0" borderId="11" xfId="2" applyFont="1" applyBorder="1" applyAlignment="1"/>
    <xf numFmtId="0" fontId="7" fillId="0" borderId="0" xfId="2" applyFont="1" applyBorder="1" applyAlignment="1"/>
    <xf numFmtId="0" fontId="7" fillId="0" borderId="14" xfId="2" applyFont="1" applyBorder="1" applyAlignment="1"/>
    <xf numFmtId="49" fontId="7" fillId="0" borderId="11" xfId="2" applyNumberFormat="1" applyFont="1" applyBorder="1" applyAlignment="1"/>
    <xf numFmtId="0" fontId="6" fillId="0" borderId="11" xfId="2" applyFont="1" applyBorder="1" applyAlignment="1"/>
    <xf numFmtId="14" fontId="13" fillId="0" borderId="27" xfId="4" applyNumberFormat="1" applyFont="1" applyBorder="1" applyAlignment="1">
      <alignment horizontal="left"/>
    </xf>
    <xf numFmtId="0" fontId="13" fillId="0" borderId="27" xfId="4" applyFont="1" applyBorder="1" applyAlignment="1">
      <alignment horizontal="left"/>
    </xf>
    <xf numFmtId="0" fontId="13" fillId="0" borderId="11" xfId="4" applyFont="1" applyBorder="1" applyAlignment="1">
      <alignment horizontal="left"/>
    </xf>
    <xf numFmtId="0" fontId="21" fillId="0" borderId="27" xfId="3" applyBorder="1" applyAlignment="1">
      <alignment horizontal="left"/>
    </xf>
    <xf numFmtId="0" fontId="13" fillId="0" borderId="27" xfId="4" applyFont="1" applyFill="1" applyBorder="1" applyAlignment="1">
      <alignment horizontal="left"/>
    </xf>
    <xf numFmtId="44" fontId="33" fillId="0" borderId="0" xfId="1" applyFont="1" applyFill="1" applyAlignment="1">
      <alignment horizontal="left" vertical="center"/>
    </xf>
    <xf numFmtId="44" fontId="32" fillId="0" borderId="39" xfId="1" applyFont="1" applyBorder="1" applyAlignment="1">
      <alignment horizontal="left" vertical="center"/>
    </xf>
    <xf numFmtId="44" fontId="35" fillId="0" borderId="0" xfId="1" applyFont="1" applyBorder="1" applyAlignment="1">
      <alignment vertical="center"/>
    </xf>
    <xf numFmtId="44" fontId="31" fillId="12" borderId="35" xfId="1" applyFont="1" applyFill="1" applyBorder="1" applyAlignment="1">
      <alignment horizontal="left" vertical="center" shrinkToFit="1"/>
    </xf>
    <xf numFmtId="44" fontId="31" fillId="2" borderId="35" xfId="1" applyFont="1" applyFill="1" applyBorder="1" applyAlignment="1">
      <alignment horizontal="right" vertical="center"/>
    </xf>
    <xf numFmtId="44" fontId="31" fillId="2" borderId="41" xfId="1" applyFont="1" applyFill="1" applyBorder="1" applyAlignment="1">
      <alignment horizontal="left" vertical="center" wrapText="1"/>
    </xf>
    <xf numFmtId="44" fontId="31" fillId="2" borderId="40" xfId="1" applyFont="1" applyFill="1" applyBorder="1" applyAlignment="1">
      <alignment horizontal="left" vertical="center" wrapText="1"/>
    </xf>
    <xf numFmtId="44" fontId="31" fillId="12" borderId="41" xfId="1" applyFont="1" applyFill="1" applyBorder="1" applyAlignment="1">
      <alignment horizontal="left" vertical="center" wrapText="1"/>
    </xf>
    <xf numFmtId="44" fontId="31" fillId="12" borderId="40" xfId="1" applyFont="1" applyFill="1" applyBorder="1" applyAlignment="1">
      <alignment horizontal="left" vertical="center" wrapText="1"/>
    </xf>
    <xf numFmtId="44" fontId="31" fillId="12" borderId="44" xfId="1" applyFont="1" applyFill="1" applyBorder="1" applyAlignment="1">
      <alignment horizontal="left" vertical="center" shrinkToFit="1"/>
    </xf>
    <xf numFmtId="44" fontId="31" fillId="12" borderId="43" xfId="1" applyFont="1" applyFill="1" applyBorder="1" applyAlignment="1">
      <alignment horizontal="left" vertical="center" shrinkToFit="1"/>
    </xf>
    <xf numFmtId="44" fontId="31" fillId="12" borderId="42" xfId="1" applyFont="1" applyFill="1" applyBorder="1" applyAlignment="1">
      <alignment horizontal="left" vertical="center" shrinkToFit="1"/>
    </xf>
    <xf numFmtId="44" fontId="33" fillId="0" borderId="0" xfId="1" applyFont="1" applyFill="1" applyBorder="1" applyAlignment="1">
      <alignment horizontal="left" vertical="center"/>
    </xf>
    <xf numFmtId="44" fontId="32" fillId="0" borderId="0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15" borderId="45" xfId="0" applyFont="1" applyFill="1" applyBorder="1" applyAlignment="1">
      <alignment vertical="center"/>
    </xf>
    <xf numFmtId="0" fontId="3" fillId="15" borderId="46" xfId="0" applyFont="1" applyFill="1" applyBorder="1" applyAlignment="1">
      <alignment vertical="center"/>
    </xf>
    <xf numFmtId="2" fontId="3" fillId="15" borderId="46" xfId="0" applyNumberFormat="1" applyFont="1" applyFill="1" applyBorder="1" applyAlignment="1">
      <alignment vertical="center"/>
    </xf>
    <xf numFmtId="0" fontId="3" fillId="15" borderId="47" xfId="0" applyFont="1" applyFill="1" applyBorder="1" applyAlignment="1">
      <alignment vertical="center" wrapText="1"/>
    </xf>
    <xf numFmtId="0" fontId="0" fillId="15" borderId="48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0" fillId="15" borderId="49" xfId="0" applyFill="1" applyBorder="1" applyAlignment="1">
      <alignment vertical="center"/>
    </xf>
    <xf numFmtId="0" fontId="0" fillId="15" borderId="49" xfId="0" applyFill="1" applyBorder="1" applyAlignment="1">
      <alignment horizontal="left" vertical="center" wrapText="1"/>
    </xf>
    <xf numFmtId="0" fontId="0" fillId="16" borderId="50" xfId="0" applyFill="1" applyBorder="1" applyAlignment="1">
      <alignment vertical="center"/>
    </xf>
    <xf numFmtId="0" fontId="0" fillId="16" borderId="0" xfId="0" applyFill="1" applyBorder="1" applyAlignment="1">
      <alignment vertical="center"/>
    </xf>
    <xf numFmtId="0" fontId="0" fillId="16" borderId="51" xfId="0" applyFill="1" applyBorder="1" applyAlignment="1">
      <alignment vertical="center"/>
    </xf>
    <xf numFmtId="0" fontId="0" fillId="16" borderId="52" xfId="0" applyFill="1" applyBorder="1" applyAlignment="1">
      <alignment horizontal="center" vertical="center"/>
    </xf>
    <xf numFmtId="0" fontId="0" fillId="16" borderId="53" xfId="0" applyFill="1" applyBorder="1" applyAlignment="1">
      <alignment horizontal="center" vertical="center"/>
    </xf>
    <xf numFmtId="0" fontId="0" fillId="16" borderId="54" xfId="0" applyFill="1" applyBorder="1" applyAlignment="1">
      <alignment horizontal="center" vertical="center"/>
    </xf>
    <xf numFmtId="0" fontId="0" fillId="16" borderId="55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0" fillId="16" borderId="1" xfId="0" applyFill="1" applyBorder="1" applyAlignment="1">
      <alignment vertical="center"/>
    </xf>
    <xf numFmtId="0" fontId="0" fillId="16" borderId="0" xfId="0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16" borderId="1" xfId="0" applyNumberFormat="1" applyFill="1" applyBorder="1" applyAlignment="1">
      <alignment vertical="center"/>
    </xf>
    <xf numFmtId="0" fontId="0" fillId="15" borderId="1" xfId="0" applyFill="1" applyBorder="1" applyAlignment="1">
      <alignment vertical="center" wrapText="1"/>
    </xf>
    <xf numFmtId="0" fontId="0" fillId="16" borderId="1" xfId="0" applyFill="1" applyBorder="1" applyAlignment="1">
      <alignment horizontal="center" vertical="center"/>
    </xf>
    <xf numFmtId="0" fontId="0" fillId="16" borderId="0" xfId="0" applyFill="1" applyAlignment="1">
      <alignment vertical="center"/>
    </xf>
    <xf numFmtId="3" fontId="0" fillId="15" borderId="1" xfId="0" applyNumberFormat="1" applyFill="1" applyBorder="1" applyAlignment="1">
      <alignment vertical="center"/>
    </xf>
    <xf numFmtId="0" fontId="0" fillId="16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</cellXfs>
  <cellStyles count="7">
    <cellStyle name="Hipervínculo" xfId="3" builtinId="8"/>
    <cellStyle name="Moneda" xfId="1" builtinId="4"/>
    <cellStyle name="Moneda 2" xfId="5"/>
    <cellStyle name="Normal" xfId="0" builtinId="0"/>
    <cellStyle name="Normal 2" xfId="2"/>
    <cellStyle name="Normal 3" xfId="4"/>
    <cellStyle name="Normal 4" xfId="6"/>
  </cellStyles>
  <dxfs count="1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  <border diagonalUp="0" diagonalDown="0">
        <left/>
        <right/>
        <top/>
        <bottom/>
        <vertical/>
        <horizontal/>
      </border>
    </dxf>
    <dxf>
      <font>
        <u val="none"/>
        <vertAlign val="baseline"/>
        <name val="Calibri"/>
        <scheme val="minor"/>
      </font>
      <numFmt numFmtId="164" formatCode="_-* #,##0.00\ &quot;€&quot;_-;\-* #,##0.00\ &quot;€&quot;_-;_-* &quot;-&quot;??\ &quot;€&quot;_-;_-@_-"/>
    </dxf>
    <dxf>
      <font>
        <u val="none"/>
        <vertAlign val="baseline"/>
        <sz val="10"/>
        <color theme="1"/>
        <name val="Calibri"/>
        <scheme val="minor"/>
      </font>
    </dxf>
    <dxf>
      <font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color theme="1"/>
        <name val="Calibri"/>
        <scheme val="minor"/>
      </font>
    </dxf>
    <dxf>
      <font>
        <u val="none"/>
        <vertAlign val="baseline"/>
        <name val="Calibri"/>
        <scheme val="minor"/>
      </font>
      <numFmt numFmtId="165" formatCode="[$-C0A]d\-mmm\-yy;@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</dxf>
    <dxf>
      <font>
        <u val="none"/>
        <vertAlign val="baseline"/>
        <sz val="10"/>
        <color theme="1"/>
        <name val="Calibri"/>
        <scheme val="minor"/>
      </font>
      <numFmt numFmtId="169" formatCode="_(\$* #,##0.00_);_(\$* \(#,##0.00\);_(\$* &quot;-&quot;??_);_(@_)"/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  <numFmt numFmtId="169" formatCode="_(\$* #,##0.00_);_(\$* \(#,##0.00\);_(\$* &quot;-&quot;??_);_(@_)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  <numFmt numFmtId="169" formatCode="_(\$* #,##0.00_);_(\$* \(#,##0.00\);_(\$* &quot;-&quot;??_);_(@_)"/>
    </dxf>
    <dxf>
      <font>
        <u val="none"/>
        <vertAlign val="baseline"/>
        <name val="Calibri"/>
        <scheme val="minor"/>
      </font>
      <numFmt numFmtId="169" formatCode="_(\$* #,##0.00_);_(\$* \(#,##0.00\);_(\$* &quot;-&quot;??_);_(@_)"/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  <numFmt numFmtId="170" formatCode="d\-m\-yyyy"/>
    </dxf>
    <dxf>
      <font>
        <u val="none"/>
        <vertAlign val="baseline"/>
        <name val="Calibri"/>
        <scheme val="minor"/>
      </font>
      <numFmt numFmtId="170" formatCode="d\-m\-yyyy"/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a13" displayName="Tabla13" ref="B14:H16" totalsRowCount="1" headerRowDxfId="185" dataDxfId="184" totalsRowDxfId="183">
  <autoFilter ref="B14:H15"/>
  <tableColumns count="7">
    <tableColumn id="1" name="Fecha" dataDxfId="182" totalsRowDxfId="181"/>
    <tableColumn id="2" name="Tipo" dataDxfId="180" totalsRowDxfId="179"/>
    <tableColumn id="3" name="Nº de factura" dataDxfId="178" totalsRowDxfId="177"/>
    <tableColumn id="4" name="Descripción" dataDxfId="176" totalsRowDxfId="175"/>
    <tableColumn id="5" name="Importe" dataDxfId="174" totalsRowDxfId="173"/>
    <tableColumn id="6" name="Pago" totalsRowLabel=" Total " dataDxfId="172" totalsRowDxfId="171"/>
    <tableColumn id="7" name="Saldo" totalsRowFunction="sum" dataDxfId="170" totalsRowDxfId="169">
      <calculatedColumnFormula>Tabla13[Importe]-Tabla13[Pago]</calculatedColumnFormula>
    </tableColumn>
  </tableColumns>
  <tableStyleInfo name="TableStyleMedium24" showFirstColumn="0" showLastColumn="0" showRowStripes="1" showColumnStripes="0"/>
</table>
</file>

<file path=xl/tables/table10.xml><?xml version="1.0" encoding="utf-8"?>
<table xmlns="http://schemas.openxmlformats.org/spreadsheetml/2006/main" id="10" name="Tabla3" displayName="Tabla3" ref="B24:E32" totalsRowCount="1" headerRowDxfId="59" dataDxfId="58" totalsRowDxfId="56" tableBorderDxfId="57" headerRowCellStyle="Moneda" dataCellStyle="Moneda" totalsRowCellStyle="Moneda">
  <autoFilter ref="B24:E31"/>
  <tableColumns count="4">
    <tableColumn id="1" name="TRANSPORTE" totalsRowLabel="Total" dataDxfId="55" totalsRowDxfId="54" dataCellStyle="Moneda"/>
    <tableColumn id="2" name="Costo previsto" totalsRowFunction="sum" dataDxfId="53" totalsRowDxfId="52" dataCellStyle="Moneda"/>
    <tableColumn id="3" name="Costo real" totalsRowFunction="sum" dataDxfId="51" totalsRowDxfId="50" dataCellStyle="Moneda"/>
    <tableColumn id="4" name="Diferencia" totalsRowFunction="sum" dataDxfId="49" totalsRowDxfId="48" dataCellStyle="Moneda">
      <calculatedColumnFormula>Tabla3[Costo previsto]-Tabla3[Costo real]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11" name="Tabla8" displayName="Tabla8" ref="G23:J30" totalsRowCount="1" headerRowDxfId="47" dataDxfId="46" totalsRowDxfId="44" tableBorderDxfId="45" headerRowCellStyle="Moneda" dataCellStyle="Moneda" totalsRowCellStyle="Moneda">
  <autoFilter ref="G23:J29"/>
  <tableColumns count="4">
    <tableColumn id="1" name="PRÉSTAMOS" totalsRowLabel="Total" dataDxfId="43" totalsRowDxfId="42" dataCellStyle="Moneda"/>
    <tableColumn id="2" name="Costo previsto" totalsRowFunction="sum" dataDxfId="41" totalsRowDxfId="40" dataCellStyle="Moneda"/>
    <tableColumn id="3" name="Costo real" totalsRowFunction="sum" dataDxfId="39" totalsRowDxfId="38" dataCellStyle="Moneda"/>
    <tableColumn id="4" name="Diferencia" totalsRowFunction="sum" dataDxfId="37" totalsRowDxfId="36" dataCellStyle="Moneda">
      <calculatedColumnFormula>Tabla8[Costo previsto]-Tabla8[Costo real]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12" name="Tabla10" displayName="Tabla10" ref="G39:J43" totalsRowCount="1" headerRowDxfId="35" dataDxfId="34" totalsRowDxfId="32" tableBorderDxfId="33" headerRowCellStyle="Moneda" dataCellStyle="Moneda" totalsRowCellStyle="Moneda">
  <autoFilter ref="G39:J42"/>
  <tableColumns count="4">
    <tableColumn id="1" name="AHORROS O INVERSIONES" totalsRowLabel="Total" dataDxfId="31" totalsRowDxfId="30" dataCellStyle="Moneda"/>
    <tableColumn id="2" name="Costo previsto" totalsRowFunction="sum" dataDxfId="29" totalsRowDxfId="28" dataCellStyle="Moneda"/>
    <tableColumn id="3" name="Costo real" totalsRowFunction="sum" dataDxfId="27" totalsRowDxfId="26" dataCellStyle="Moneda"/>
    <tableColumn id="4" name="Diferencia" totalsRowFunction="sum" dataDxfId="25" totalsRowDxfId="24" dataCellStyle="Moneda">
      <calculatedColumnFormula>Tabla10[Costo previsto]-Tabla10[Costo real]</calculatedColumnFormula>
    </tableColumn>
  </tableColumns>
  <tableStyleInfo name="TableStyleMedium23" showFirstColumn="0" showLastColumn="0" showRowStripes="1" showColumnStripes="0"/>
</table>
</file>

<file path=xl/tables/table13.xml><?xml version="1.0" encoding="utf-8"?>
<table xmlns="http://schemas.openxmlformats.org/spreadsheetml/2006/main" id="13" name="Tabla7" displayName="Tabla7" ref="B55:E63" totalsRowCount="1" headerRowDxfId="23" dataDxfId="22" totalsRowDxfId="20" tableBorderDxfId="21" headerRowCellStyle="Moneda" dataCellStyle="Moneda" totalsRowCellStyle="Moneda">
  <autoFilter ref="B55:E62"/>
  <tableColumns count="4">
    <tableColumn id="1" name="CUIDADO PERSONAL" totalsRowLabel="Total" dataDxfId="19" totalsRowDxfId="18" dataCellStyle="Moneda"/>
    <tableColumn id="2" name="Costo previsto" totalsRowFunction="sum" dataDxfId="17" totalsRowDxfId="16" dataCellStyle="Moneda"/>
    <tableColumn id="3" name="Costo real" totalsRowFunction="sum" dataDxfId="15" totalsRowDxfId="14" dataCellStyle="Moneda"/>
    <tableColumn id="4" name="Diferencia" totalsRowFunction="sum" dataDxfId="13" totalsRowDxfId="12" dataCellStyle="Moneda">
      <calculatedColumnFormula>Tabla7[Costo previsto]-Tabla7[Costo real]</calculatedColumnFormula>
    </tableColumn>
  </tableColumns>
  <tableStyleInfo name="TableStyleMedium23" showFirstColumn="0" showLastColumn="0" showRowStripes="1" showColumnStripes="0"/>
</table>
</file>

<file path=xl/tables/table14.xml><?xml version="1.0" encoding="utf-8"?>
<table xmlns="http://schemas.openxmlformats.org/spreadsheetml/2006/main" id="14" name="Tabla2" displayName="Tabla2" ref="G11:J21" totalsRowCount="1" headerRowDxfId="11" dataDxfId="10" totalsRowDxfId="8" tableBorderDxfId="9" headerRowCellStyle="Moneda" dataCellStyle="Moneda" totalsRowCellStyle="Moneda">
  <autoFilter ref="G11:J20"/>
  <tableColumns count="4">
    <tableColumn id="1" name="OCIO" totalsRowLabel="Total" dataDxfId="7" totalsRowDxfId="6" dataCellStyle="Moneda"/>
    <tableColumn id="2" name="Costo previsto" totalsRowFunction="sum" dataDxfId="5" totalsRowDxfId="4" dataCellStyle="Moneda"/>
    <tableColumn id="3" name="Costo real" totalsRowFunction="sum" dataDxfId="3" totalsRowDxfId="2" dataCellStyle="Moneda"/>
    <tableColumn id="4" name="Diferencia" totalsRowFunction="sum" dataDxfId="1" totalsRowDxfId="0" dataCellStyle="Moneda">
      <calculatedColumnFormula>Tabla2[Costo previsto]-Tabla2[Costo real]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B10:L12" totalsRowCount="1" headerRowDxfId="168" dataDxfId="167" totalsRowDxfId="166">
  <autoFilter ref="B10:L11"/>
  <tableColumns count="11">
    <tableColumn id="1" name="Fecha" totalsRowLabel="Total" dataDxfId="165" totalsRowDxfId="164"/>
    <tableColumn id="2" name="Cuenta" dataDxfId="163" totalsRowDxfId="162"/>
    <tableColumn id="3" name="Descripción" dataDxfId="161" totalsRowDxfId="160"/>
    <tableColumn id="4" name="Hotel" totalsRowFunction="sum" dataDxfId="159" totalsRowDxfId="158" dataCellStyle="Moneda"/>
    <tableColumn id="5" name="Transporte" totalsRowFunction="sum" dataDxfId="157" totalsRowDxfId="156" dataCellStyle="Moneda"/>
    <tableColumn id="6" name="Combustible" totalsRowFunction="sum" dataDxfId="155" totalsRowDxfId="154" dataCellStyle="Moneda"/>
    <tableColumn id="7" name="Comidas" totalsRowFunction="sum" dataDxfId="153" totalsRowDxfId="152" dataCellStyle="Moneda"/>
    <tableColumn id="8" name="Teléfono" totalsRowFunction="sum" dataDxfId="151" totalsRowDxfId="150" dataCellStyle="Moneda"/>
    <tableColumn id="10" name="Gastos representación" totalsRowFunction="sum" dataDxfId="149" totalsRowDxfId="148" dataCellStyle="Moneda"/>
    <tableColumn id="11" name="Varios" totalsRowFunction="sum" dataDxfId="147" totalsRowDxfId="146" dataCellStyle="Moneda"/>
    <tableColumn id="9" name="Total" totalsRowFunction="sum" dataDxfId="145" totalsRowDxfId="144" dataCellStyle="Moneda">
      <calculatedColumnFormula>SUM(Tabla1[[#This Row],[Hotel]:[Varios]])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B11:E22" totalsRowCount="1" headerRowDxfId="143" dataDxfId="142" totalsRowDxfId="140" tableBorderDxfId="141" headerRowCellStyle="Moneda" dataCellStyle="Moneda" totalsRowCellStyle="Moneda">
  <autoFilter ref="B11:E21"/>
  <tableColumns count="4">
    <tableColumn id="1" name="VIVIENDA" totalsRowLabel="Total" dataDxfId="139" totalsRowDxfId="138" dataCellStyle="Moneda"/>
    <tableColumn id="2" name="Costo previsto" totalsRowFunction="sum" dataDxfId="137" totalsRowDxfId="136" dataCellStyle="Moneda"/>
    <tableColumn id="3" name="Costo real" totalsRowFunction="sum" dataDxfId="135" totalsRowDxfId="134" dataCellStyle="Moneda"/>
    <tableColumn id="4" name="Diferencia" totalsRowFunction="sum" dataDxfId="133" totalsRowDxfId="132" dataCellStyle="Moneda">
      <calculatedColumnFormula>Tabla14[Costo previsto]-Tabla14[Costo real]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B34:E39" totalsRowCount="1" headerRowDxfId="131" dataDxfId="130" totalsRowDxfId="128" tableBorderDxfId="129" headerRowCellStyle="Moneda" dataCellStyle="Moneda" totalsRowCellStyle="Moneda">
  <autoFilter ref="B34:E38"/>
  <tableColumns count="4">
    <tableColumn id="1" name="SEGUROS" totalsRowLabel="Total" dataDxfId="127" totalsRowDxfId="126" dataCellStyle="Moneda"/>
    <tableColumn id="2" name="Costo previsto" totalsRowFunction="sum" dataDxfId="125" totalsRowDxfId="124" dataCellStyle="Moneda"/>
    <tableColumn id="3" name="Costo real" totalsRowFunction="sum" dataDxfId="123" totalsRowDxfId="122" dataCellStyle="Moneda"/>
    <tableColumn id="4" name="Diferencia" totalsRowFunction="sum" dataDxfId="121" totalsRowDxfId="120" dataCellStyle="Moneda">
      <calculatedColumnFormula>Tabla4[Costo previsto]-Tabla4[Costo real]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5" name="Tabla12" displayName="Tabla12" ref="G51:J56" totalsRowCount="1" headerRowDxfId="119" dataDxfId="118" totalsRowDxfId="116" tableBorderDxfId="117" headerRowCellStyle="Moneda" dataCellStyle="Moneda" totalsRowCellStyle="Moneda">
  <autoFilter ref="G51:J55"/>
  <tableColumns count="4">
    <tableColumn id="1" name="ASESORÍA JURÍDICA" totalsRowLabel="Total" dataDxfId="115" totalsRowDxfId="114" dataCellStyle="Moneda"/>
    <tableColumn id="2" name="Costo previsto" totalsRowFunction="sum" dataDxfId="113" totalsRowDxfId="112" dataCellStyle="Moneda"/>
    <tableColumn id="3" name="Costo real" totalsRowFunction="sum" dataDxfId="111" totalsRowDxfId="110" dataCellStyle="Moneda"/>
    <tableColumn id="4" name="Diferencia" totalsRowFunction="sum" dataDxfId="109" totalsRowDxfId="108" dataCellStyle="Moneda">
      <calculatedColumnFormula>Tabla12[Costo previsto]-Tabla12[Costo real]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B47:E53" totalsRowCount="1" headerRowDxfId="107" dataDxfId="106" totalsRowDxfId="104" tableBorderDxfId="105" headerRowCellStyle="Moneda" dataCellStyle="Moneda" totalsRowCellStyle="Moneda">
  <autoFilter ref="B47:E52"/>
  <tableColumns count="4">
    <tableColumn id="1" name="ANIMALES" totalsRowLabel="Total" dataDxfId="103" totalsRowDxfId="102" dataCellStyle="Moneda"/>
    <tableColumn id="2" name="Costo previsto" totalsRowFunction="sum" dataDxfId="101" totalsRowDxfId="100" dataCellStyle="Moneda"/>
    <tableColumn id="3" name="Costo real" totalsRowFunction="sum" dataDxfId="99" totalsRowDxfId="98" dataCellStyle="Moneda"/>
    <tableColumn id="4" name="Diferencia" totalsRowFunction="sum" dataDxfId="97" totalsRowDxfId="96" dataCellStyle="Moneda">
      <calculatedColumnFormula>Tabla6[Costo previsto]-Tabla6[Costo real]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7" name="Tabla11" displayName="Tabla11" ref="G45:J49" totalsRowCount="1" headerRowDxfId="95" dataDxfId="94" totalsRowDxfId="92" tableBorderDxfId="93" headerRowCellStyle="Moneda" dataCellStyle="Moneda" totalsRowCellStyle="Moneda">
  <autoFilter ref="G45:J48"/>
  <tableColumns count="4">
    <tableColumn id="1" name="REGALOS Y DONATIVOS" totalsRowLabel="Total" dataDxfId="91" totalsRowDxfId="90" dataCellStyle="Moneda"/>
    <tableColumn id="2" name="Costo previsto" totalsRowFunction="sum" dataDxfId="89" totalsRowDxfId="88" dataCellStyle="Moneda"/>
    <tableColumn id="3" name="Costo real" totalsRowFunction="sum" dataDxfId="87" totalsRowDxfId="86" dataCellStyle="Moneda"/>
    <tableColumn id="4" name="Diferencia" totalsRowFunction="sum" dataDxfId="85" totalsRowDxfId="84" dataCellStyle="Moneda">
      <calculatedColumnFormula>Tabla11[Costo previsto]-Tabla11[Costo real]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8" name="Tabla5" displayName="Tabla5" ref="B41:E45" totalsRowCount="1" headerRowDxfId="83" dataDxfId="82" totalsRowDxfId="80" tableBorderDxfId="81" headerRowCellStyle="Moneda" dataCellStyle="Moneda" totalsRowCellStyle="Moneda">
  <autoFilter ref="B41:E44"/>
  <tableColumns count="4">
    <tableColumn id="1" name="ALIMENTACIÓN" totalsRowLabel="Total" dataDxfId="79" totalsRowDxfId="78" dataCellStyle="Moneda"/>
    <tableColumn id="2" name="Costo previsto" totalsRowFunction="sum" dataDxfId="77" totalsRowDxfId="76" dataCellStyle="Moneda"/>
    <tableColumn id="3" name="Costo real" totalsRowFunction="sum" dataDxfId="75" totalsRowDxfId="74" dataCellStyle="Moneda"/>
    <tableColumn id="4" name="Diferencia" totalsRowFunction="sum" dataDxfId="73" totalsRowDxfId="72" dataCellStyle="Moneda">
      <calculatedColumnFormula>Tabla5[Costo previsto]-Tabla5[Costo real]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9" name="Tabla9" displayName="Tabla9" ref="G32:J37" totalsRowCount="1" headerRowDxfId="71" dataDxfId="70" totalsRowDxfId="68" tableBorderDxfId="69" headerRowCellStyle="Moneda" dataCellStyle="Moneda" totalsRowCellStyle="Moneda">
  <autoFilter ref="G32:J36"/>
  <tableColumns count="4">
    <tableColumn id="1" name="IMPUESTOS" totalsRowLabel="Total" dataDxfId="67" totalsRowDxfId="66" dataCellStyle="Moneda"/>
    <tableColumn id="2" name="Costo previsto" totalsRowFunction="sum" dataDxfId="65" totalsRowDxfId="64" dataCellStyle="Moneda"/>
    <tableColumn id="3" name="Costo real" totalsRowFunction="sum" dataDxfId="63" totalsRowDxfId="62" dataCellStyle="Moneda"/>
    <tableColumn id="4" name="Diferencia" totalsRowFunction="sum" dataDxfId="61" totalsRowDxfId="60" dataCellStyle="Moneda">
      <calculatedColumnFormula>Tabla9[Costo previsto]-Tabla9[Costo real]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palini_2k15@outlook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jimena_lm06@hot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3"/>
  <sheetViews>
    <sheetView topLeftCell="A29" zoomScaleNormal="100" workbookViewId="0">
      <selection activeCell="F36" sqref="F36"/>
    </sheetView>
  </sheetViews>
  <sheetFormatPr baseColWidth="10" defaultRowHeight="31.5" customHeight="1" x14ac:dyDescent="0.25"/>
  <cols>
    <col min="1" max="3" width="35" style="218" customWidth="1"/>
    <col min="4" max="4" width="17.42578125" style="218" customWidth="1"/>
    <col min="5" max="16384" width="11.42578125" style="218"/>
  </cols>
  <sheetData>
    <row r="3" spans="1:3" ht="31.5" customHeight="1" x14ac:dyDescent="0.25">
      <c r="A3" s="249" t="s">
        <v>316</v>
      </c>
      <c r="B3" s="249"/>
      <c r="C3" s="249"/>
    </row>
    <row r="4" spans="1:3" ht="103.5" customHeight="1" x14ac:dyDescent="0.25">
      <c r="A4" s="238" t="s">
        <v>315</v>
      </c>
      <c r="B4" s="238"/>
      <c r="C4" s="238"/>
    </row>
    <row r="5" spans="1:3" ht="31.5" customHeight="1" x14ac:dyDescent="0.25">
      <c r="A5" s="238" t="s">
        <v>314</v>
      </c>
      <c r="B5" s="238"/>
      <c r="C5" s="238"/>
    </row>
    <row r="7" spans="1:3" ht="31.5" customHeight="1" x14ac:dyDescent="0.25">
      <c r="A7" s="248" t="s">
        <v>313</v>
      </c>
      <c r="B7" s="248"/>
      <c r="C7" s="248"/>
    </row>
    <row r="9" spans="1:3" ht="31.5" customHeight="1" x14ac:dyDescent="0.25">
      <c r="A9" s="241" t="s">
        <v>312</v>
      </c>
      <c r="B9" s="241" t="s">
        <v>5</v>
      </c>
      <c r="C9" s="241" t="s">
        <v>311</v>
      </c>
    </row>
    <row r="10" spans="1:3" ht="31.5" customHeight="1" x14ac:dyDescent="0.25">
      <c r="A10" s="224" t="s">
        <v>261</v>
      </c>
      <c r="B10" s="224">
        <v>2000</v>
      </c>
      <c r="C10" s="224">
        <f>B10*3</f>
        <v>6000</v>
      </c>
    </row>
    <row r="11" spans="1:3" ht="31.5" customHeight="1" x14ac:dyDescent="0.25">
      <c r="A11" s="224" t="s">
        <v>280</v>
      </c>
      <c r="B11" s="224">
        <v>11400</v>
      </c>
      <c r="C11" s="224">
        <f>B11*3</f>
        <v>34200</v>
      </c>
    </row>
    <row r="12" spans="1:3" ht="31.5" customHeight="1" x14ac:dyDescent="0.25">
      <c r="A12" s="224" t="s">
        <v>310</v>
      </c>
      <c r="B12" s="224">
        <v>25</v>
      </c>
      <c r="C12" s="224">
        <f>3*B12</f>
        <v>75</v>
      </c>
    </row>
    <row r="13" spans="1:3" ht="31.5" customHeight="1" x14ac:dyDescent="0.25">
      <c r="A13" s="224" t="s">
        <v>309</v>
      </c>
      <c r="B13" s="224">
        <v>200</v>
      </c>
      <c r="C13" s="224">
        <f>B13*3</f>
        <v>600</v>
      </c>
    </row>
    <row r="14" spans="1:3" ht="31.5" customHeight="1" x14ac:dyDescent="0.25">
      <c r="A14" s="224" t="s">
        <v>308</v>
      </c>
      <c r="B14" s="224">
        <f>600</f>
        <v>600</v>
      </c>
      <c r="C14" s="224">
        <f>B14*3</f>
        <v>1800</v>
      </c>
    </row>
    <row r="15" spans="1:3" ht="31.5" customHeight="1" x14ac:dyDescent="0.25">
      <c r="A15" s="224" t="s">
        <v>255</v>
      </c>
      <c r="B15" s="224">
        <v>200</v>
      </c>
      <c r="C15" s="224">
        <f>B15*3</f>
        <v>600</v>
      </c>
    </row>
    <row r="16" spans="1:3" ht="31.5" customHeight="1" x14ac:dyDescent="0.25">
      <c r="A16" s="235" t="s">
        <v>22</v>
      </c>
      <c r="B16" s="235">
        <f>SUM(B10:B15)</f>
        <v>14425</v>
      </c>
      <c r="C16" s="235">
        <f>SUM(C11:C15)</f>
        <v>37275</v>
      </c>
    </row>
    <row r="18" spans="1:4" ht="31.5" customHeight="1" x14ac:dyDescent="0.25">
      <c r="A18" s="247" t="s">
        <v>307</v>
      </c>
      <c r="B18" s="247"/>
    </row>
    <row r="19" spans="1:4" ht="31.5" customHeight="1" x14ac:dyDescent="0.25">
      <c r="A19" s="224" t="s">
        <v>295</v>
      </c>
      <c r="B19" s="246" t="s">
        <v>306</v>
      </c>
    </row>
    <row r="20" spans="1:4" ht="31.5" customHeight="1" x14ac:dyDescent="0.25">
      <c r="A20" s="224" t="s">
        <v>291</v>
      </c>
      <c r="B20" s="224">
        <f>12300</f>
        <v>12300</v>
      </c>
    </row>
    <row r="21" spans="1:4" ht="31.5" customHeight="1" x14ac:dyDescent="0.25">
      <c r="A21" s="224" t="s">
        <v>290</v>
      </c>
      <c r="B21" s="224">
        <v>17000</v>
      </c>
    </row>
    <row r="22" spans="1:4" ht="31.5" customHeight="1" x14ac:dyDescent="0.25">
      <c r="A22" s="240" t="s">
        <v>289</v>
      </c>
      <c r="B22" s="224">
        <v>226900</v>
      </c>
    </row>
    <row r="23" spans="1:4" ht="31.5" customHeight="1" x14ac:dyDescent="0.25">
      <c r="A23" s="240" t="s">
        <v>305</v>
      </c>
      <c r="B23" s="224">
        <v>5950</v>
      </c>
    </row>
    <row r="24" spans="1:4" ht="31.5" customHeight="1" x14ac:dyDescent="0.25">
      <c r="A24" s="245" t="s">
        <v>287</v>
      </c>
      <c r="B24" s="224">
        <f>5900+2100</f>
        <v>8000</v>
      </c>
    </row>
    <row r="25" spans="1:4" ht="31.5" customHeight="1" x14ac:dyDescent="0.25">
      <c r="A25" s="224" t="s">
        <v>286</v>
      </c>
      <c r="B25" s="243">
        <v>2000</v>
      </c>
    </row>
    <row r="26" spans="1:4" ht="31.5" customHeight="1" x14ac:dyDescent="0.25">
      <c r="A26" s="224" t="s">
        <v>285</v>
      </c>
      <c r="B26" s="224">
        <v>5000</v>
      </c>
    </row>
    <row r="27" spans="1:4" ht="31.5" customHeight="1" x14ac:dyDescent="0.25">
      <c r="A27" s="240" t="s">
        <v>284</v>
      </c>
      <c r="B27" s="224">
        <v>5000</v>
      </c>
    </row>
    <row r="28" spans="1:4" ht="31.5" customHeight="1" x14ac:dyDescent="0.25">
      <c r="A28" s="235" t="s">
        <v>22</v>
      </c>
      <c r="B28" s="235">
        <f>SUM(B20:B27)</f>
        <v>282150</v>
      </c>
    </row>
    <row r="30" spans="1:4" ht="31.5" customHeight="1" x14ac:dyDescent="0.25">
      <c r="A30" s="218" t="s">
        <v>304</v>
      </c>
    </row>
    <row r="32" spans="1:4" ht="31.5" customHeight="1" x14ac:dyDescent="0.25">
      <c r="A32" s="235" t="s">
        <v>303</v>
      </c>
      <c r="B32" s="241" t="s">
        <v>302</v>
      </c>
      <c r="C32" s="244" t="s">
        <v>301</v>
      </c>
      <c r="D32" s="241" t="s">
        <v>300</v>
      </c>
    </row>
    <row r="33" spans="1:6" ht="31.5" customHeight="1" x14ac:dyDescent="0.25">
      <c r="A33" s="224" t="s">
        <v>299</v>
      </c>
      <c r="B33" s="224">
        <f>100*30</f>
        <v>3000</v>
      </c>
      <c r="C33" s="224">
        <v>700</v>
      </c>
      <c r="D33" s="224">
        <f>B33+C33</f>
        <v>3700</v>
      </c>
    </row>
    <row r="34" spans="1:6" ht="31.5" customHeight="1" x14ac:dyDescent="0.25">
      <c r="A34" s="224" t="s">
        <v>298</v>
      </c>
      <c r="B34" s="224">
        <f>30*70*4</f>
        <v>8400</v>
      </c>
      <c r="C34" s="224">
        <f>540*4</f>
        <v>2160</v>
      </c>
      <c r="D34" s="224">
        <f>B34+C34</f>
        <v>10560</v>
      </c>
    </row>
    <row r="35" spans="1:6" ht="31.5" customHeight="1" x14ac:dyDescent="0.25">
      <c r="A35" s="224" t="s">
        <v>22</v>
      </c>
      <c r="B35" s="224">
        <f>SUM(B33:B34)</f>
        <v>11400</v>
      </c>
      <c r="C35" s="224">
        <f>SUM(C33:C34)</f>
        <v>2860</v>
      </c>
      <c r="D35" s="224">
        <f>SUM(D33:D34)</f>
        <v>14260</v>
      </c>
      <c r="F35" s="218">
        <f>8400/4</f>
        <v>2100</v>
      </c>
    </row>
    <row r="37" spans="1:6" ht="31.5" customHeight="1" x14ac:dyDescent="0.25">
      <c r="A37" s="218" t="s">
        <v>297</v>
      </c>
    </row>
    <row r="38" spans="1:6" ht="31.5" customHeight="1" x14ac:dyDescent="0.25">
      <c r="A38" s="218" t="s">
        <v>296</v>
      </c>
    </row>
    <row r="40" spans="1:6" ht="31.5" customHeight="1" x14ac:dyDescent="0.25">
      <c r="A40" s="235" t="s">
        <v>295</v>
      </c>
      <c r="B40" s="241" t="s">
        <v>294</v>
      </c>
      <c r="C40" s="241" t="s">
        <v>293</v>
      </c>
      <c r="D40" s="244" t="s">
        <v>292</v>
      </c>
    </row>
    <row r="41" spans="1:6" ht="31.5" customHeight="1" x14ac:dyDescent="0.25">
      <c r="A41" s="224" t="s">
        <v>291</v>
      </c>
      <c r="B41" s="224">
        <f>12300</f>
        <v>12300</v>
      </c>
      <c r="C41" s="224">
        <v>10</v>
      </c>
      <c r="D41" s="224">
        <f>B41/10</f>
        <v>1230</v>
      </c>
    </row>
    <row r="42" spans="1:6" ht="31.5" customHeight="1" x14ac:dyDescent="0.25">
      <c r="A42" s="224" t="s">
        <v>290</v>
      </c>
      <c r="B42" s="224">
        <v>17000</v>
      </c>
      <c r="C42" s="224">
        <v>20</v>
      </c>
      <c r="D42" s="224">
        <f>B42/5</f>
        <v>3400</v>
      </c>
    </row>
    <row r="43" spans="1:6" ht="31.5" customHeight="1" x14ac:dyDescent="0.25">
      <c r="A43" s="224" t="s">
        <v>289</v>
      </c>
      <c r="B43" s="224">
        <v>226900</v>
      </c>
      <c r="C43" s="224">
        <v>20</v>
      </c>
      <c r="D43" s="224">
        <f>B43/5</f>
        <v>45380</v>
      </c>
    </row>
    <row r="44" spans="1:6" ht="31.5" customHeight="1" x14ac:dyDescent="0.25">
      <c r="A44" s="224" t="s">
        <v>288</v>
      </c>
      <c r="B44" s="224">
        <v>5950</v>
      </c>
      <c r="C44" s="224">
        <v>20</v>
      </c>
      <c r="D44" s="224">
        <f>B44/5</f>
        <v>1190</v>
      </c>
    </row>
    <row r="45" spans="1:6" ht="31.5" customHeight="1" x14ac:dyDescent="0.25">
      <c r="A45" s="224" t="s">
        <v>287</v>
      </c>
      <c r="B45" s="224">
        <f>5900+2100</f>
        <v>8000</v>
      </c>
      <c r="C45" s="224">
        <v>20</v>
      </c>
      <c r="D45" s="224">
        <f>B45/5</f>
        <v>1600</v>
      </c>
    </row>
    <row r="46" spans="1:6" ht="31.5" customHeight="1" x14ac:dyDescent="0.25">
      <c r="A46" s="224" t="s">
        <v>286</v>
      </c>
      <c r="B46" s="243">
        <v>2000</v>
      </c>
      <c r="C46" s="224">
        <v>20</v>
      </c>
      <c r="D46" s="224">
        <f>B46/5</f>
        <v>400</v>
      </c>
    </row>
    <row r="47" spans="1:6" ht="31.5" customHeight="1" x14ac:dyDescent="0.25">
      <c r="A47" s="224" t="s">
        <v>285</v>
      </c>
      <c r="B47" s="224">
        <v>5000</v>
      </c>
      <c r="C47" s="224">
        <v>25</v>
      </c>
      <c r="D47" s="224">
        <f>B47/4</f>
        <v>1250</v>
      </c>
    </row>
    <row r="48" spans="1:6" ht="31.5" customHeight="1" x14ac:dyDescent="0.25">
      <c r="A48" s="224" t="s">
        <v>284</v>
      </c>
      <c r="B48" s="224">
        <v>5000</v>
      </c>
      <c r="C48" s="224">
        <v>25</v>
      </c>
      <c r="D48" s="224">
        <f>B48/4</f>
        <v>1250</v>
      </c>
    </row>
    <row r="49" spans="1:4" ht="31.5" customHeight="1" x14ac:dyDescent="0.25">
      <c r="A49" s="235" t="s">
        <v>283</v>
      </c>
      <c r="B49" s="242"/>
      <c r="C49" s="242"/>
      <c r="D49" s="235">
        <f>SUM(D41:D48)</f>
        <v>55700</v>
      </c>
    </row>
    <row r="51" spans="1:4" ht="31.5" customHeight="1" x14ac:dyDescent="0.25">
      <c r="A51" s="241" t="s">
        <v>282</v>
      </c>
      <c r="B51" s="241" t="s">
        <v>281</v>
      </c>
    </row>
    <row r="52" spans="1:4" ht="31.5" customHeight="1" x14ac:dyDescent="0.25">
      <c r="A52" s="224" t="s">
        <v>261</v>
      </c>
      <c r="B52" s="224">
        <v>2000</v>
      </c>
    </row>
    <row r="53" spans="1:4" ht="31.5" customHeight="1" x14ac:dyDescent="0.25">
      <c r="A53" s="224" t="s">
        <v>190</v>
      </c>
      <c r="B53" s="224">
        <v>3000</v>
      </c>
    </row>
    <row r="54" spans="1:4" ht="31.5" customHeight="1" x14ac:dyDescent="0.25">
      <c r="A54" s="224" t="s">
        <v>280</v>
      </c>
      <c r="B54" s="224">
        <v>11800</v>
      </c>
    </row>
    <row r="55" spans="1:4" ht="31.5" customHeight="1" x14ac:dyDescent="0.25">
      <c r="A55" s="224" t="s">
        <v>279</v>
      </c>
      <c r="B55" s="224">
        <v>2860</v>
      </c>
    </row>
    <row r="56" spans="1:4" ht="31.5" customHeight="1" x14ac:dyDescent="0.25">
      <c r="A56" s="224" t="s">
        <v>253</v>
      </c>
      <c r="B56" s="224">
        <v>3000</v>
      </c>
    </row>
    <row r="57" spans="1:4" ht="31.5" customHeight="1" x14ac:dyDescent="0.25">
      <c r="A57" s="224" t="s">
        <v>255</v>
      </c>
      <c r="B57" s="224">
        <v>200</v>
      </c>
    </row>
    <row r="58" spans="1:4" ht="31.5" customHeight="1" x14ac:dyDescent="0.25">
      <c r="A58" s="224" t="s">
        <v>259</v>
      </c>
      <c r="B58" s="224">
        <v>2000</v>
      </c>
    </row>
    <row r="59" spans="1:4" ht="31.5" customHeight="1" x14ac:dyDescent="0.25">
      <c r="A59" s="240" t="s">
        <v>278</v>
      </c>
      <c r="B59" s="224">
        <f>55700</f>
        <v>55700</v>
      </c>
    </row>
    <row r="60" spans="1:4" ht="31.5" customHeight="1" x14ac:dyDescent="0.25">
      <c r="A60" s="240" t="s">
        <v>249</v>
      </c>
      <c r="B60" s="224">
        <f>2000</f>
        <v>2000</v>
      </c>
    </row>
    <row r="61" spans="1:4" ht="31.5" customHeight="1" x14ac:dyDescent="0.25">
      <c r="A61" s="235" t="s">
        <v>277</v>
      </c>
      <c r="B61" s="235">
        <f>SUM(B52:B60)</f>
        <v>82560</v>
      </c>
    </row>
    <row r="62" spans="1:4" ht="31.5" customHeight="1" x14ac:dyDescent="0.25">
      <c r="A62" s="235" t="s">
        <v>276</v>
      </c>
      <c r="B62" s="239">
        <v>0.9</v>
      </c>
    </row>
    <row r="63" spans="1:4" ht="31.5" customHeight="1" x14ac:dyDescent="0.25">
      <c r="A63" s="235" t="s">
        <v>275</v>
      </c>
      <c r="B63" s="235">
        <v>91733.33</v>
      </c>
    </row>
    <row r="65" spans="1:4" ht="31.5" customHeight="1" x14ac:dyDescent="0.25">
      <c r="A65" s="238" t="s">
        <v>274</v>
      </c>
      <c r="B65" s="238"/>
    </row>
    <row r="66" spans="1:4" ht="31.5" customHeight="1" x14ac:dyDescent="0.25">
      <c r="A66" s="238"/>
      <c r="B66" s="238"/>
    </row>
    <row r="67" spans="1:4" ht="31.5" customHeight="1" x14ac:dyDescent="0.25">
      <c r="A67" s="238"/>
      <c r="B67" s="238"/>
    </row>
    <row r="70" spans="1:4" ht="31.5" customHeight="1" x14ac:dyDescent="0.25">
      <c r="A70" s="237" t="s">
        <v>273</v>
      </c>
      <c r="B70" s="237"/>
      <c r="C70" s="237"/>
      <c r="D70" s="237"/>
    </row>
    <row r="72" spans="1:4" ht="31.5" customHeight="1" x14ac:dyDescent="0.25">
      <c r="A72" s="236" t="s">
        <v>272</v>
      </c>
      <c r="B72" s="236"/>
      <c r="C72" s="236"/>
      <c r="D72" s="236"/>
    </row>
    <row r="73" spans="1:4" ht="31.5" customHeight="1" x14ac:dyDescent="0.25">
      <c r="B73" s="235" t="s">
        <v>269</v>
      </c>
      <c r="C73" s="235" t="s">
        <v>268</v>
      </c>
      <c r="D73" s="235" t="s">
        <v>267</v>
      </c>
    </row>
    <row r="74" spans="1:4" ht="31.5" customHeight="1" x14ac:dyDescent="0.25">
      <c r="A74" s="224" t="s">
        <v>266</v>
      </c>
      <c r="B74" s="224">
        <v>80000</v>
      </c>
      <c r="C74" s="224">
        <v>100000</v>
      </c>
      <c r="D74" s="224">
        <v>120000</v>
      </c>
    </row>
    <row r="75" spans="1:4" ht="31.5" customHeight="1" x14ac:dyDescent="0.25">
      <c r="A75" s="224" t="s">
        <v>265</v>
      </c>
      <c r="B75" s="224">
        <f>B74*0.18</f>
        <v>14400</v>
      </c>
      <c r="C75" s="224">
        <f>C74*0.18</f>
        <v>18000</v>
      </c>
      <c r="D75" s="224">
        <f>D74*0.18</f>
        <v>21600</v>
      </c>
    </row>
    <row r="76" spans="1:4" ht="31.5" customHeight="1" x14ac:dyDescent="0.25">
      <c r="A76" s="224" t="s">
        <v>264</v>
      </c>
      <c r="B76" s="224">
        <f>B74-B75</f>
        <v>65600</v>
      </c>
      <c r="C76" s="224">
        <f>C74-C75</f>
        <v>82000</v>
      </c>
      <c r="D76" s="224">
        <f>D74-D75</f>
        <v>98400</v>
      </c>
    </row>
    <row r="79" spans="1:4" ht="31.5" customHeight="1" x14ac:dyDescent="0.25">
      <c r="A79" s="218" t="s">
        <v>271</v>
      </c>
    </row>
    <row r="81" spans="1:4" ht="31.5" customHeight="1" x14ac:dyDescent="0.25">
      <c r="A81" s="234" t="s">
        <v>270</v>
      </c>
      <c r="B81" s="234"/>
      <c r="C81" s="234"/>
      <c r="D81" s="234"/>
    </row>
    <row r="82" spans="1:4" ht="31.5" customHeight="1" x14ac:dyDescent="0.25">
      <c r="B82" s="233" t="s">
        <v>269</v>
      </c>
      <c r="C82" s="233" t="s">
        <v>268</v>
      </c>
      <c r="D82" s="233" t="s">
        <v>267</v>
      </c>
    </row>
    <row r="83" spans="1:4" ht="31.5" customHeight="1" x14ac:dyDescent="0.25">
      <c r="A83" s="224" t="s">
        <v>266</v>
      </c>
      <c r="B83" s="224">
        <v>80000</v>
      </c>
      <c r="C83" s="224">
        <v>100000</v>
      </c>
      <c r="D83" s="224">
        <v>120000</v>
      </c>
    </row>
    <row r="84" spans="1:4" ht="31.5" customHeight="1" x14ac:dyDescent="0.25">
      <c r="A84" s="224" t="s">
        <v>265</v>
      </c>
      <c r="B84" s="224">
        <f>B83*0.18</f>
        <v>14400</v>
      </c>
      <c r="C84" s="224">
        <f>C83*0.18</f>
        <v>18000</v>
      </c>
      <c r="D84" s="224">
        <f>D83*0.18</f>
        <v>21600</v>
      </c>
    </row>
    <row r="85" spans="1:4" ht="31.5" customHeight="1" x14ac:dyDescent="0.25">
      <c r="A85" s="224" t="s">
        <v>264</v>
      </c>
      <c r="B85" s="224">
        <f>B83-B84</f>
        <v>65600</v>
      </c>
      <c r="C85" s="224">
        <f>C83-C84</f>
        <v>82000</v>
      </c>
      <c r="D85" s="224">
        <f>D83-D84</f>
        <v>98400</v>
      </c>
    </row>
    <row r="86" spans="1:4" ht="31.5" customHeight="1" thickBot="1" x14ac:dyDescent="0.3"/>
    <row r="87" spans="1:4" ht="31.5" customHeight="1" x14ac:dyDescent="0.25">
      <c r="A87" s="232" t="s">
        <v>263</v>
      </c>
      <c r="B87" s="231"/>
      <c r="C87" s="231"/>
      <c r="D87" s="230"/>
    </row>
    <row r="88" spans="1:4" ht="31.5" customHeight="1" x14ac:dyDescent="0.25">
      <c r="A88" s="229" t="s">
        <v>262</v>
      </c>
      <c r="B88" s="228"/>
      <c r="C88" s="228"/>
      <c r="D88" s="227"/>
    </row>
    <row r="89" spans="1:4" ht="31.5" customHeight="1" x14ac:dyDescent="0.25">
      <c r="A89" s="225" t="s">
        <v>261</v>
      </c>
      <c r="B89" s="224">
        <v>2000</v>
      </c>
      <c r="C89" s="224">
        <v>2000</v>
      </c>
      <c r="D89" s="223">
        <v>2000</v>
      </c>
    </row>
    <row r="90" spans="1:4" ht="31.5" customHeight="1" x14ac:dyDescent="0.25">
      <c r="A90" s="225" t="s">
        <v>260</v>
      </c>
      <c r="B90" s="224">
        <v>3000</v>
      </c>
      <c r="C90" s="224">
        <v>3000</v>
      </c>
      <c r="D90" s="223">
        <v>3000</v>
      </c>
    </row>
    <row r="91" spans="1:4" ht="31.5" customHeight="1" x14ac:dyDescent="0.25">
      <c r="A91" s="225" t="s">
        <v>259</v>
      </c>
      <c r="B91" s="224">
        <v>2000</v>
      </c>
      <c r="C91" s="224">
        <v>2000</v>
      </c>
      <c r="D91" s="223">
        <v>2000</v>
      </c>
    </row>
    <row r="92" spans="1:4" ht="31.5" customHeight="1" x14ac:dyDescent="0.25">
      <c r="A92" s="229" t="s">
        <v>258</v>
      </c>
      <c r="B92" s="228"/>
      <c r="C92" s="228"/>
      <c r="D92" s="227"/>
    </row>
    <row r="93" spans="1:4" ht="31.5" customHeight="1" x14ac:dyDescent="0.25">
      <c r="A93" s="225" t="s">
        <v>257</v>
      </c>
      <c r="B93" s="224">
        <v>14660</v>
      </c>
      <c r="C93" s="224">
        <v>14660</v>
      </c>
      <c r="D93" s="223">
        <v>14660</v>
      </c>
    </row>
    <row r="94" spans="1:4" ht="31.5" customHeight="1" x14ac:dyDescent="0.25">
      <c r="A94" s="229" t="s">
        <v>256</v>
      </c>
      <c r="B94" s="228"/>
      <c r="C94" s="228"/>
      <c r="D94" s="227"/>
    </row>
    <row r="95" spans="1:4" ht="31.5" customHeight="1" x14ac:dyDescent="0.25">
      <c r="A95" s="225" t="s">
        <v>255</v>
      </c>
      <c r="B95" s="224">
        <v>200</v>
      </c>
      <c r="C95" s="224">
        <v>200</v>
      </c>
      <c r="D95" s="223">
        <v>200</v>
      </c>
    </row>
    <row r="96" spans="1:4" ht="31.5" customHeight="1" x14ac:dyDescent="0.25">
      <c r="A96" s="229" t="s">
        <v>254</v>
      </c>
      <c r="B96" s="228"/>
      <c r="C96" s="228"/>
      <c r="D96" s="227"/>
    </row>
    <row r="97" spans="1:4" ht="31.5" customHeight="1" x14ac:dyDescent="0.25">
      <c r="A97" s="225" t="s">
        <v>253</v>
      </c>
      <c r="B97" s="224">
        <v>3000</v>
      </c>
      <c r="C97" s="224">
        <v>3000</v>
      </c>
      <c r="D97" s="223">
        <v>3000</v>
      </c>
    </row>
    <row r="98" spans="1:4" ht="31.5" customHeight="1" x14ac:dyDescent="0.25">
      <c r="A98" s="229" t="s">
        <v>252</v>
      </c>
      <c r="B98" s="228"/>
      <c r="C98" s="228"/>
      <c r="D98" s="227"/>
    </row>
    <row r="99" spans="1:4" ht="31.5" customHeight="1" x14ac:dyDescent="0.25">
      <c r="A99" s="225" t="s">
        <v>251</v>
      </c>
      <c r="B99" s="224">
        <v>55700</v>
      </c>
      <c r="C99" s="224">
        <v>55700</v>
      </c>
      <c r="D99" s="223">
        <v>55700</v>
      </c>
    </row>
    <row r="100" spans="1:4" ht="31.5" customHeight="1" x14ac:dyDescent="0.25">
      <c r="A100" s="229" t="s">
        <v>250</v>
      </c>
      <c r="B100" s="228"/>
      <c r="C100" s="228"/>
      <c r="D100" s="227"/>
    </row>
    <row r="101" spans="1:4" ht="42" customHeight="1" x14ac:dyDescent="0.25">
      <c r="A101" s="226" t="s">
        <v>249</v>
      </c>
      <c r="B101" s="224">
        <v>3000</v>
      </c>
      <c r="C101" s="224">
        <v>3000</v>
      </c>
      <c r="D101" s="223">
        <v>3000</v>
      </c>
    </row>
    <row r="102" spans="1:4" ht="31.5" customHeight="1" x14ac:dyDescent="0.25">
      <c r="A102" s="225" t="s">
        <v>248</v>
      </c>
      <c r="B102" s="224">
        <f>SUM(B89:B101)</f>
        <v>83560</v>
      </c>
      <c r="C102" s="224">
        <f>SUM(C89:C101)</f>
        <v>83560</v>
      </c>
      <c r="D102" s="223">
        <f>SUM(D89:D101)</f>
        <v>83560</v>
      </c>
    </row>
    <row r="103" spans="1:4" ht="36.75" customHeight="1" thickBot="1" x14ac:dyDescent="0.3">
      <c r="A103" s="222" t="s">
        <v>247</v>
      </c>
      <c r="B103" s="221">
        <f>-(B102-B85)</f>
        <v>-17960</v>
      </c>
      <c r="C103" s="220">
        <f>-(C102-C85)</f>
        <v>-1560</v>
      </c>
      <c r="D103" s="219">
        <f>D85-D102</f>
        <v>14840</v>
      </c>
    </row>
  </sheetData>
  <mergeCells count="10">
    <mergeCell ref="A81:D81"/>
    <mergeCell ref="A87:D87"/>
    <mergeCell ref="A4:C4"/>
    <mergeCell ref="A70:D70"/>
    <mergeCell ref="A3:C3"/>
    <mergeCell ref="A5:C5"/>
    <mergeCell ref="A7:C7"/>
    <mergeCell ref="A65:B67"/>
    <mergeCell ref="A18:B18"/>
    <mergeCell ref="A72:D7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40" workbookViewId="0">
      <selection activeCell="A28" sqref="A28:E29"/>
    </sheetView>
  </sheetViews>
  <sheetFormatPr baseColWidth="10" defaultRowHeight="15" x14ac:dyDescent="0.25"/>
  <cols>
    <col min="1" max="4" width="18.5703125" customWidth="1"/>
  </cols>
  <sheetData>
    <row r="1" spans="1:5" s="80" customFormat="1" ht="46.5" customHeight="1" x14ac:dyDescent="0.4">
      <c r="A1" s="250" t="s">
        <v>0</v>
      </c>
      <c r="B1" s="250"/>
      <c r="C1" s="250"/>
      <c r="D1" s="250"/>
      <c r="E1" s="250"/>
    </row>
    <row r="2" spans="1:5" x14ac:dyDescent="0.25">
      <c r="A2" s="1" t="s">
        <v>1</v>
      </c>
      <c r="B2" s="1"/>
      <c r="C2" s="1" t="s">
        <v>2</v>
      </c>
      <c r="D2" s="1">
        <v>80</v>
      </c>
      <c r="E2" s="1"/>
    </row>
    <row r="3" spans="1:5" x14ac:dyDescent="0.25">
      <c r="A3" s="182" t="s">
        <v>3</v>
      </c>
      <c r="B3" s="182"/>
      <c r="C3" s="182"/>
      <c r="D3" s="182"/>
      <c r="E3" s="182"/>
    </row>
    <row r="4" spans="1:5" x14ac:dyDescent="0.25">
      <c r="A4" s="182"/>
      <c r="B4" s="182"/>
      <c r="C4" s="182"/>
      <c r="D4" s="182"/>
      <c r="E4" s="182"/>
    </row>
    <row r="5" spans="1:5" x14ac:dyDescent="0.25">
      <c r="A5" s="1" t="s">
        <v>4</v>
      </c>
      <c r="B5" s="1">
        <v>1</v>
      </c>
      <c r="C5" s="1" t="s">
        <v>5</v>
      </c>
      <c r="D5" s="1" t="s">
        <v>6</v>
      </c>
      <c r="E5" s="1"/>
    </row>
    <row r="6" spans="1:5" x14ac:dyDescent="0.25">
      <c r="A6" s="1" t="s">
        <v>7</v>
      </c>
      <c r="B6" s="1"/>
      <c r="C6" s="1">
        <v>3000</v>
      </c>
      <c r="D6" s="1"/>
      <c r="E6" s="1"/>
    </row>
    <row r="7" spans="1:5" ht="28.5" customHeight="1" x14ac:dyDescent="0.25">
      <c r="A7" s="191" t="s">
        <v>8</v>
      </c>
      <c r="B7" s="192"/>
      <c r="C7" s="1">
        <v>3000</v>
      </c>
      <c r="D7" s="1"/>
      <c r="E7" s="1"/>
    </row>
    <row r="8" spans="1:5" x14ac:dyDescent="0.25">
      <c r="A8" s="1" t="s">
        <v>9</v>
      </c>
      <c r="B8" s="1"/>
      <c r="C8" s="1"/>
      <c r="D8" s="1">
        <f>C7/30</f>
        <v>100</v>
      </c>
      <c r="E8" s="1"/>
    </row>
    <row r="9" spans="1:5" x14ac:dyDescent="0.25">
      <c r="A9" s="190" t="s">
        <v>10</v>
      </c>
      <c r="B9" s="190"/>
      <c r="C9" s="190"/>
      <c r="D9" s="190"/>
      <c r="E9" s="190"/>
    </row>
    <row r="10" spans="1:5" x14ac:dyDescent="0.25">
      <c r="A10" s="190"/>
      <c r="B10" s="190"/>
      <c r="C10" s="190"/>
      <c r="D10" s="190"/>
      <c r="E10" s="190"/>
    </row>
    <row r="11" spans="1:5" x14ac:dyDescent="0.25">
      <c r="A11" s="1" t="s">
        <v>11</v>
      </c>
      <c r="B11" s="1">
        <v>4</v>
      </c>
      <c r="C11" s="1" t="s">
        <v>5</v>
      </c>
      <c r="D11" s="1" t="s">
        <v>6</v>
      </c>
      <c r="E11" s="1"/>
    </row>
    <row r="12" spans="1:5" x14ac:dyDescent="0.25">
      <c r="A12" s="1" t="s">
        <v>12</v>
      </c>
      <c r="B12" s="1"/>
      <c r="C12" s="1">
        <v>2100</v>
      </c>
      <c r="D12" s="1"/>
      <c r="E12" s="1"/>
    </row>
    <row r="13" spans="1:5" ht="26.25" customHeight="1" x14ac:dyDescent="0.25">
      <c r="A13" s="191" t="s">
        <v>13</v>
      </c>
      <c r="B13" s="192"/>
      <c r="C13" s="1">
        <f>C12*B11</f>
        <v>8400</v>
      </c>
      <c r="D13" s="1"/>
      <c r="E13" s="1"/>
    </row>
    <row r="14" spans="1:5" x14ac:dyDescent="0.25">
      <c r="A14" s="1" t="s">
        <v>14</v>
      </c>
      <c r="B14" s="1"/>
      <c r="C14" s="1"/>
      <c r="D14" s="1">
        <f>C13/30</f>
        <v>280</v>
      </c>
      <c r="E14" s="1"/>
    </row>
    <row r="15" spans="1:5" x14ac:dyDescent="0.25">
      <c r="A15" s="190" t="s">
        <v>15</v>
      </c>
      <c r="B15" s="190"/>
      <c r="C15" s="190"/>
      <c r="D15" s="190"/>
      <c r="E15" s="190"/>
    </row>
    <row r="16" spans="1:5" x14ac:dyDescent="0.25">
      <c r="A16" s="190"/>
      <c r="B16" s="190"/>
      <c r="C16" s="190"/>
      <c r="D16" s="190"/>
      <c r="E16" s="190"/>
    </row>
    <row r="17" spans="1:5" x14ac:dyDescent="0.25">
      <c r="A17" s="2"/>
      <c r="B17" s="2" t="s">
        <v>16</v>
      </c>
      <c r="C17" s="2" t="s">
        <v>5</v>
      </c>
      <c r="D17" s="2" t="s">
        <v>6</v>
      </c>
      <c r="E17" s="2"/>
    </row>
    <row r="18" spans="1:5" x14ac:dyDescent="0.25">
      <c r="A18" s="1" t="s">
        <v>17</v>
      </c>
      <c r="B18" s="1" t="s">
        <v>18</v>
      </c>
      <c r="C18" s="1">
        <v>500</v>
      </c>
      <c r="D18" s="1">
        <f>C18/30</f>
        <v>16.666666666666668</v>
      </c>
      <c r="E18" s="1"/>
    </row>
    <row r="19" spans="1:5" x14ac:dyDescent="0.25">
      <c r="A19" s="1" t="s">
        <v>19</v>
      </c>
      <c r="B19" s="1" t="s">
        <v>20</v>
      </c>
      <c r="C19" s="1">
        <v>300</v>
      </c>
      <c r="D19" s="1">
        <f>C19/30</f>
        <v>10</v>
      </c>
      <c r="E19" s="1"/>
    </row>
    <row r="20" spans="1:5" x14ac:dyDescent="0.25">
      <c r="A20" s="1" t="s">
        <v>21</v>
      </c>
      <c r="B20" s="1" t="s">
        <v>20</v>
      </c>
      <c r="C20" s="1">
        <v>300</v>
      </c>
      <c r="D20" s="1">
        <f>C20/30</f>
        <v>10</v>
      </c>
      <c r="E20" s="1"/>
    </row>
    <row r="21" spans="1:5" x14ac:dyDescent="0.25">
      <c r="A21" s="1" t="s">
        <v>22</v>
      </c>
      <c r="B21" s="1"/>
      <c r="C21" s="1">
        <f>SUM(C18:C20)</f>
        <v>1100</v>
      </c>
      <c r="D21" s="1">
        <f>SUM(D18:D20)</f>
        <v>36.666666666666671</v>
      </c>
      <c r="E21" s="1"/>
    </row>
    <row r="22" spans="1:5" x14ac:dyDescent="0.25">
      <c r="A22" s="182" t="s">
        <v>23</v>
      </c>
      <c r="B22" s="182"/>
      <c r="C22" s="182"/>
      <c r="D22" s="182"/>
      <c r="E22" s="182"/>
    </row>
    <row r="23" spans="1:5" x14ac:dyDescent="0.25">
      <c r="A23" s="182"/>
      <c r="B23" s="182"/>
      <c r="C23" s="182"/>
      <c r="D23" s="182"/>
      <c r="E23" s="182"/>
    </row>
    <row r="24" spans="1:5" x14ac:dyDescent="0.25">
      <c r="A24" s="3"/>
      <c r="B24" s="3" t="s">
        <v>16</v>
      </c>
      <c r="C24" s="3" t="s">
        <v>5</v>
      </c>
      <c r="D24" s="3" t="s">
        <v>6</v>
      </c>
      <c r="E24" s="3"/>
    </row>
    <row r="25" spans="1:5" x14ac:dyDescent="0.25">
      <c r="A25" s="181" t="s">
        <v>318</v>
      </c>
      <c r="B25" s="181" t="s">
        <v>319</v>
      </c>
      <c r="C25" s="181">
        <v>2000</v>
      </c>
      <c r="D25" s="181">
        <f>C25/30</f>
        <v>66.666666666666671</v>
      </c>
      <c r="E25" s="181"/>
    </row>
    <row r="26" spans="1:5" x14ac:dyDescent="0.25">
      <c r="A26" s="1" t="s">
        <v>24</v>
      </c>
      <c r="B26" s="1" t="s">
        <v>25</v>
      </c>
      <c r="C26" s="1">
        <v>25</v>
      </c>
      <c r="D26" s="1">
        <f>C26/30</f>
        <v>0.83333333333333337</v>
      </c>
      <c r="E26" s="1"/>
    </row>
    <row r="27" spans="1:5" x14ac:dyDescent="0.25">
      <c r="A27" s="1"/>
      <c r="B27" s="1" t="s">
        <v>320</v>
      </c>
      <c r="C27" s="1">
        <f>SUM(C25:C26)</f>
        <v>2025</v>
      </c>
      <c r="D27" s="1">
        <f>SUM(D25:D26)</f>
        <v>67.5</v>
      </c>
      <c r="E27" s="1"/>
    </row>
    <row r="28" spans="1:5" x14ac:dyDescent="0.25">
      <c r="A28" s="182" t="s">
        <v>26</v>
      </c>
      <c r="B28" s="182"/>
      <c r="C28" s="182"/>
      <c r="D28" s="182"/>
      <c r="E28" s="182"/>
    </row>
    <row r="29" spans="1:5" x14ac:dyDescent="0.25">
      <c r="A29" s="182"/>
      <c r="B29" s="182"/>
      <c r="C29" s="182"/>
      <c r="D29" s="182"/>
      <c r="E29" s="182"/>
    </row>
    <row r="30" spans="1:5" ht="30.75" customHeight="1" x14ac:dyDescent="0.25">
      <c r="A30" s="4" t="s">
        <v>27</v>
      </c>
      <c r="B30" s="1"/>
      <c r="C30" s="1"/>
      <c r="D30" s="1">
        <f>SUM(D26+D21+D14+D8)</f>
        <v>417.5</v>
      </c>
      <c r="E30" s="1"/>
    </row>
    <row r="31" spans="1:5" ht="30.75" customHeight="1" x14ac:dyDescent="0.25">
      <c r="A31" s="4" t="s">
        <v>28</v>
      </c>
      <c r="B31" s="1"/>
      <c r="C31" s="1"/>
      <c r="D31" s="1">
        <f>D30/D2</f>
        <v>5.21875</v>
      </c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83" t="s">
        <v>29</v>
      </c>
      <c r="B33" s="183"/>
      <c r="C33" s="183"/>
      <c r="D33" s="183"/>
      <c r="E33" s="183"/>
    </row>
    <row r="34" spans="1:5" x14ac:dyDescent="0.25">
      <c r="A34" s="183"/>
      <c r="B34" s="183"/>
      <c r="C34" s="183"/>
      <c r="D34" s="183"/>
      <c r="E34" s="183"/>
    </row>
    <row r="35" spans="1:5" x14ac:dyDescent="0.25">
      <c r="A35" s="1" t="s">
        <v>0</v>
      </c>
      <c r="B35" s="1">
        <v>42.7</v>
      </c>
      <c r="C35" s="1" t="s">
        <v>2</v>
      </c>
    </row>
    <row r="36" spans="1:5" x14ac:dyDescent="0.25">
      <c r="A36" s="1" t="s">
        <v>30</v>
      </c>
      <c r="B36" s="1">
        <v>12</v>
      </c>
      <c r="C36" s="1" t="s">
        <v>31</v>
      </c>
    </row>
    <row r="37" spans="1:5" x14ac:dyDescent="0.25">
      <c r="A37" s="1" t="s">
        <v>32</v>
      </c>
      <c r="B37" s="1">
        <v>3</v>
      </c>
      <c r="C37" s="1" t="s">
        <v>33</v>
      </c>
    </row>
    <row r="38" spans="1:5" x14ac:dyDescent="0.25">
      <c r="A38" s="1" t="s">
        <v>34</v>
      </c>
      <c r="B38" s="1">
        <f>SUM(B35:B37)</f>
        <v>57.7</v>
      </c>
      <c r="C38" s="1"/>
    </row>
    <row r="39" spans="1:5" ht="27.75" customHeight="1" x14ac:dyDescent="0.25">
      <c r="A39" s="1"/>
      <c r="B39" s="4" t="s">
        <v>35</v>
      </c>
      <c r="C39" s="1">
        <f>56.7*D31</f>
        <v>295.90312499999999</v>
      </c>
    </row>
    <row r="40" spans="1:5" x14ac:dyDescent="0.25">
      <c r="A40" s="183" t="s">
        <v>36</v>
      </c>
      <c r="B40" s="183"/>
      <c r="C40" s="183"/>
      <c r="D40" s="183"/>
      <c r="E40" s="183"/>
    </row>
    <row r="41" spans="1:5" x14ac:dyDescent="0.25">
      <c r="A41" s="183"/>
      <c r="B41" s="183"/>
      <c r="C41" s="183"/>
      <c r="D41" s="183"/>
      <c r="E41" s="183"/>
    </row>
    <row r="42" spans="1:5" x14ac:dyDescent="0.25">
      <c r="A42" s="1" t="s">
        <v>37</v>
      </c>
      <c r="B42" s="1"/>
      <c r="C42" s="1">
        <f>SUM(C21+C13+C7)</f>
        <v>12500</v>
      </c>
      <c r="D42" s="5"/>
      <c r="E42" s="6"/>
    </row>
    <row r="43" spans="1:5" x14ac:dyDescent="0.25">
      <c r="A43" s="1" t="s">
        <v>38</v>
      </c>
      <c r="B43" s="1"/>
      <c r="C43" s="1">
        <f>C39*14</f>
        <v>4142.6437500000002</v>
      </c>
      <c r="D43" s="7"/>
      <c r="E43" s="8"/>
    </row>
    <row r="44" spans="1:5" x14ac:dyDescent="0.25">
      <c r="A44" s="1" t="s">
        <v>39</v>
      </c>
      <c r="B44" s="1"/>
      <c r="C44" s="1">
        <f>SUM(C42:C43)</f>
        <v>16642.643749999999</v>
      </c>
      <c r="D44" s="7"/>
      <c r="E44" s="8"/>
    </row>
    <row r="45" spans="1:5" x14ac:dyDescent="0.25">
      <c r="A45" s="1" t="s">
        <v>40</v>
      </c>
      <c r="B45" s="1"/>
      <c r="C45" s="1">
        <f>C44*0.2</f>
        <v>3328.5287499999999</v>
      </c>
      <c r="D45" s="7"/>
      <c r="E45" s="8"/>
    </row>
    <row r="46" spans="1:5" x14ac:dyDescent="0.25">
      <c r="A46" s="1" t="s">
        <v>41</v>
      </c>
      <c r="B46" s="1"/>
      <c r="C46" s="1">
        <f>SUM(C44:C45)</f>
        <v>19971.172500000001</v>
      </c>
      <c r="D46" s="9"/>
      <c r="E46" s="10"/>
    </row>
    <row r="47" spans="1:5" x14ac:dyDescent="0.25">
      <c r="A47" s="184" t="s">
        <v>42</v>
      </c>
      <c r="B47" s="185"/>
      <c r="C47" s="185"/>
      <c r="D47" s="185"/>
      <c r="E47" s="186"/>
    </row>
    <row r="48" spans="1:5" x14ac:dyDescent="0.25">
      <c r="A48" s="187"/>
      <c r="B48" s="188"/>
      <c r="C48" s="188"/>
      <c r="D48" s="188"/>
      <c r="E48" s="189"/>
    </row>
    <row r="49" spans="1:5" ht="36.75" customHeight="1" x14ac:dyDescent="0.25">
      <c r="A49" s="183" t="s">
        <v>43</v>
      </c>
      <c r="B49" s="183"/>
      <c r="C49" s="1">
        <f>C46/30</f>
        <v>665.70574999999997</v>
      </c>
      <c r="D49" s="7"/>
      <c r="E49" s="8"/>
    </row>
    <row r="50" spans="1:5" ht="30.75" customHeight="1" x14ac:dyDescent="0.25">
      <c r="A50" s="183" t="s">
        <v>44</v>
      </c>
      <c r="B50" s="183"/>
      <c r="C50" s="1">
        <f>C49/B35</f>
        <v>15.590298594847773</v>
      </c>
      <c r="D50" s="7"/>
      <c r="E50" s="8"/>
    </row>
    <row r="51" spans="1:5" ht="30" customHeight="1" x14ac:dyDescent="0.25">
      <c r="A51" s="183" t="s">
        <v>45</v>
      </c>
      <c r="B51" s="183"/>
      <c r="C51" s="1">
        <f>C49/B38</f>
        <v>11.537361351819756</v>
      </c>
      <c r="D51" s="9"/>
      <c r="E51" s="10"/>
    </row>
  </sheetData>
  <mergeCells count="14">
    <mergeCell ref="A1:E1"/>
    <mergeCell ref="A3:E4"/>
    <mergeCell ref="A9:E10"/>
    <mergeCell ref="A15:E16"/>
    <mergeCell ref="A22:E23"/>
    <mergeCell ref="A7:B7"/>
    <mergeCell ref="A13:B13"/>
    <mergeCell ref="A28:E29"/>
    <mergeCell ref="A50:B50"/>
    <mergeCell ref="A51:B51"/>
    <mergeCell ref="A33:E34"/>
    <mergeCell ref="A40:E41"/>
    <mergeCell ref="A47:E48"/>
    <mergeCell ref="A49:B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showGridLines="0" workbookViewId="0">
      <selection activeCell="B1" sqref="B1"/>
    </sheetView>
  </sheetViews>
  <sheetFormatPr baseColWidth="10" defaultColWidth="10.28515625" defaultRowHeight="15" x14ac:dyDescent="0.25"/>
  <cols>
    <col min="1" max="1" width="1.28515625" customWidth="1"/>
    <col min="2" max="2" width="18.5703125" customWidth="1"/>
    <col min="3" max="3" width="17.85546875" customWidth="1"/>
    <col min="4" max="4" width="14.7109375" customWidth="1"/>
    <col min="5" max="5" width="25.85546875" customWidth="1"/>
    <col min="6" max="8" width="12.140625" customWidth="1"/>
  </cols>
  <sheetData>
    <row r="1" spans="2:8" ht="28.5" customHeight="1" x14ac:dyDescent="0.25">
      <c r="B1" s="78" t="s">
        <v>317</v>
      </c>
      <c r="C1" s="77"/>
      <c r="D1" s="77"/>
      <c r="E1" s="39"/>
      <c r="F1" s="39"/>
      <c r="G1" s="39"/>
      <c r="H1" s="39"/>
    </row>
    <row r="2" spans="2:8" x14ac:dyDescent="0.25">
      <c r="C2" s="40"/>
      <c r="D2" s="40"/>
      <c r="E2" s="70" t="s">
        <v>97</v>
      </c>
      <c r="F2" s="76" t="s">
        <v>99</v>
      </c>
      <c r="H2" s="40"/>
    </row>
    <row r="3" spans="2:8" x14ac:dyDescent="0.25">
      <c r="B3" s="75" t="s">
        <v>101</v>
      </c>
      <c r="C3" s="40"/>
      <c r="D3" s="40"/>
      <c r="E3" s="70" t="s">
        <v>96</v>
      </c>
      <c r="F3" s="76" t="s">
        <v>98</v>
      </c>
      <c r="H3" s="40"/>
    </row>
    <row r="4" spans="2:8" x14ac:dyDescent="0.25">
      <c r="B4" s="75" t="s">
        <v>89</v>
      </c>
      <c r="C4" s="40"/>
      <c r="D4" s="40"/>
      <c r="E4" s="70" t="s">
        <v>95</v>
      </c>
      <c r="F4" s="79" t="s">
        <v>100</v>
      </c>
      <c r="G4" s="40"/>
      <c r="H4" s="40"/>
    </row>
    <row r="5" spans="2:8" x14ac:dyDescent="0.25">
      <c r="B5" s="40"/>
      <c r="C5" s="40"/>
      <c r="D5" s="40"/>
      <c r="E5" s="40"/>
      <c r="F5" s="73"/>
      <c r="G5" s="40"/>
      <c r="H5" s="40"/>
    </row>
    <row r="6" spans="2:8" ht="18.75" x14ac:dyDescent="0.3">
      <c r="B6" s="74" t="s">
        <v>103</v>
      </c>
      <c r="C6" s="40"/>
      <c r="D6" s="40"/>
      <c r="E6" s="40"/>
      <c r="F6" s="73"/>
      <c r="G6" s="40"/>
      <c r="H6" s="40"/>
    </row>
    <row r="7" spans="2:8" x14ac:dyDescent="0.25">
      <c r="B7" s="40"/>
      <c r="C7" s="40"/>
      <c r="D7" s="40"/>
      <c r="E7" s="40"/>
      <c r="F7" s="73"/>
      <c r="G7" s="40"/>
      <c r="H7" s="40"/>
    </row>
    <row r="8" spans="2:8" x14ac:dyDescent="0.25">
      <c r="B8" s="70" t="s">
        <v>104</v>
      </c>
      <c r="C8" s="68" t="s">
        <v>105</v>
      </c>
      <c r="D8" s="69"/>
      <c r="E8" s="70" t="s">
        <v>94</v>
      </c>
      <c r="F8" s="68" t="s">
        <v>65</v>
      </c>
      <c r="H8" s="67"/>
    </row>
    <row r="9" spans="2:8" x14ac:dyDescent="0.25">
      <c r="B9" s="70" t="s">
        <v>75</v>
      </c>
      <c r="C9" s="72">
        <f ca="1">TODAY()</f>
        <v>42326</v>
      </c>
      <c r="D9" s="71"/>
      <c r="E9" s="40"/>
      <c r="F9" s="68" t="s">
        <v>93</v>
      </c>
      <c r="H9" s="67"/>
    </row>
    <row r="10" spans="2:8" x14ac:dyDescent="0.25">
      <c r="B10" s="70" t="s">
        <v>77</v>
      </c>
      <c r="C10" s="68" t="s">
        <v>92</v>
      </c>
      <c r="D10" s="69"/>
      <c r="E10" s="40"/>
      <c r="F10" s="68" t="s">
        <v>91</v>
      </c>
      <c r="H10" s="67"/>
    </row>
    <row r="11" spans="2:8" x14ac:dyDescent="0.25">
      <c r="B11" s="40"/>
      <c r="C11" s="40"/>
      <c r="D11" s="40"/>
      <c r="E11" s="40"/>
      <c r="F11" s="68" t="s">
        <v>90</v>
      </c>
      <c r="H11" s="67"/>
    </row>
    <row r="12" spans="2:8" x14ac:dyDescent="0.25">
      <c r="B12" s="40"/>
      <c r="C12" s="40"/>
      <c r="D12" s="40"/>
      <c r="E12" s="40"/>
      <c r="F12" s="68" t="s">
        <v>89</v>
      </c>
      <c r="H12" s="67"/>
    </row>
    <row r="13" spans="2:8" x14ac:dyDescent="0.25">
      <c r="B13" s="39"/>
      <c r="C13" s="39"/>
      <c r="D13" s="39"/>
      <c r="E13" s="39"/>
      <c r="F13" s="39"/>
      <c r="G13" s="39"/>
      <c r="H13" s="39"/>
    </row>
    <row r="14" spans="2:8" x14ac:dyDescent="0.25">
      <c r="B14" s="66" t="s">
        <v>59</v>
      </c>
      <c r="C14" s="66" t="s">
        <v>88</v>
      </c>
      <c r="D14" s="66" t="s">
        <v>87</v>
      </c>
      <c r="E14" s="66" t="s">
        <v>57</v>
      </c>
      <c r="F14" s="66" t="s">
        <v>86</v>
      </c>
      <c r="G14" s="66" t="s">
        <v>85</v>
      </c>
      <c r="H14" s="66" t="s">
        <v>84</v>
      </c>
    </row>
    <row r="15" spans="2:8" x14ac:dyDescent="0.25">
      <c r="B15" s="65"/>
      <c r="C15" s="64"/>
      <c r="D15" s="64"/>
      <c r="E15" s="64"/>
      <c r="F15" s="63"/>
      <c r="G15" s="63"/>
      <c r="H15" s="62">
        <f>Tabla13[Importe]-Tabla13[Pago]</f>
        <v>0</v>
      </c>
    </row>
    <row r="16" spans="2:8" x14ac:dyDescent="0.25">
      <c r="B16" s="61"/>
      <c r="C16" s="39"/>
      <c r="D16" s="39"/>
      <c r="E16" s="39"/>
      <c r="F16" s="60"/>
      <c r="G16" s="59" t="s">
        <v>83</v>
      </c>
      <c r="H16" s="58">
        <f>SUBTOTAL(109,Tabla13[Saldo])</f>
        <v>0</v>
      </c>
    </row>
    <row r="17" spans="2:8" x14ac:dyDescent="0.25">
      <c r="B17" s="56" t="s">
        <v>82</v>
      </c>
      <c r="C17" s="55"/>
      <c r="D17" s="57"/>
      <c r="E17" s="57"/>
      <c r="F17" s="40"/>
      <c r="G17" s="39"/>
      <c r="H17" s="39"/>
    </row>
    <row r="18" spans="2:8" x14ac:dyDescent="0.25">
      <c r="B18" s="56" t="s">
        <v>81</v>
      </c>
      <c r="C18" s="55"/>
      <c r="D18" s="40"/>
      <c r="E18" s="40"/>
      <c r="F18" s="40"/>
      <c r="G18" s="39"/>
      <c r="H18" s="39"/>
    </row>
    <row r="19" spans="2:8" x14ac:dyDescent="0.25">
      <c r="B19" s="40"/>
      <c r="C19" s="40"/>
      <c r="D19" s="40"/>
      <c r="E19" s="40"/>
      <c r="F19" s="40"/>
      <c r="G19" s="39"/>
      <c r="H19" s="39"/>
    </row>
    <row r="20" spans="2:8" x14ac:dyDescent="0.25">
      <c r="B20" s="54" t="s">
        <v>80</v>
      </c>
      <c r="C20" s="53"/>
      <c r="D20" s="53"/>
      <c r="E20" s="52"/>
      <c r="F20" s="40"/>
      <c r="G20" s="39"/>
      <c r="H20" s="39"/>
    </row>
    <row r="21" spans="2:8" x14ac:dyDescent="0.25">
      <c r="B21" s="51" t="s">
        <v>79</v>
      </c>
      <c r="C21" s="50" t="s">
        <v>78</v>
      </c>
      <c r="D21" s="50"/>
      <c r="E21" s="49"/>
      <c r="F21" s="40"/>
      <c r="G21" s="39"/>
      <c r="H21" s="39"/>
    </row>
    <row r="22" spans="2:8" x14ac:dyDescent="0.25">
      <c r="B22" s="51" t="s">
        <v>77</v>
      </c>
      <c r="C22" s="50" t="str">
        <f>C10</f>
        <v>Especificar Id. de cliente</v>
      </c>
      <c r="D22" s="50"/>
      <c r="E22" s="49"/>
      <c r="F22" s="40"/>
      <c r="G22" s="39"/>
      <c r="H22" s="39"/>
    </row>
    <row r="23" spans="2:8" x14ac:dyDescent="0.25">
      <c r="B23" s="46" t="s">
        <v>76</v>
      </c>
      <c r="C23" s="48" t="str">
        <f>C8</f>
        <v>Especificar número de factura</v>
      </c>
      <c r="D23" s="48"/>
      <c r="E23" s="44"/>
      <c r="F23" s="40"/>
      <c r="G23" s="39"/>
      <c r="H23" s="39"/>
    </row>
    <row r="24" spans="2:8" x14ac:dyDescent="0.25">
      <c r="B24" s="46" t="s">
        <v>75</v>
      </c>
      <c r="C24" s="47">
        <f ca="1">C9</f>
        <v>42326</v>
      </c>
      <c r="D24" s="47"/>
      <c r="E24" s="44"/>
      <c r="F24" s="40"/>
      <c r="G24" s="39"/>
      <c r="H24" s="39"/>
    </row>
    <row r="25" spans="2:8" x14ac:dyDescent="0.25">
      <c r="B25" s="46" t="s">
        <v>74</v>
      </c>
      <c r="C25" s="88">
        <f>Tabla13[[#Totals],[Saldo]]</f>
        <v>0</v>
      </c>
      <c r="D25" s="45"/>
      <c r="E25" s="44"/>
      <c r="F25" s="40"/>
      <c r="G25" s="39"/>
      <c r="H25" s="39"/>
    </row>
    <row r="26" spans="2:8" x14ac:dyDescent="0.25">
      <c r="B26" s="43" t="s">
        <v>73</v>
      </c>
      <c r="C26" s="42"/>
      <c r="D26" s="42"/>
      <c r="E26" s="41"/>
      <c r="F26" s="40"/>
      <c r="G26" s="39"/>
      <c r="H26" s="39"/>
    </row>
  </sheetData>
  <hyperlinks>
    <hyperlink ref="F4" r:id="rId1"/>
  </hyperlinks>
  <printOptions horizontalCentered="1"/>
  <pageMargins left="0.5" right="0.5" top="0.5" bottom="0.5" header="0.25" footer="0.25"/>
  <pageSetup scale="81" fitToHeight="0" orientation="portrait" horizontalDpi="4294967294" r:id="rId2"/>
  <headerFooter>
    <oddHeader xml:space="preserve">&amp;L&amp;K000000
</oddHeader>
    <oddFooter>&amp;C&amp;10Página &amp;P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showGridLines="0" topLeftCell="A11" zoomScale="85" zoomScalePageLayoutView="85" workbookViewId="0">
      <selection activeCell="F4" sqref="F4"/>
    </sheetView>
  </sheetViews>
  <sheetFormatPr baseColWidth="10" defaultColWidth="9.140625" defaultRowHeight="12.75" x14ac:dyDescent="0.2"/>
  <cols>
    <col min="1" max="1" width="0.5703125" style="11" customWidth="1"/>
    <col min="2" max="2" width="15.7109375" style="11" customWidth="1"/>
    <col min="3" max="3" width="11" style="11" customWidth="1"/>
    <col min="4" max="4" width="29.140625" style="11" customWidth="1"/>
    <col min="5" max="5" width="9.5703125" style="11" customWidth="1"/>
    <col min="6" max="6" width="13.5703125" style="11" customWidth="1"/>
    <col min="7" max="7" width="8.140625" style="11" customWidth="1"/>
    <col min="8" max="9" width="10" style="11" customWidth="1"/>
    <col min="10" max="10" width="16.7109375" style="11" customWidth="1"/>
    <col min="11" max="11" width="8.5703125" style="11" customWidth="1"/>
    <col min="12" max="12" width="15.7109375" style="11" customWidth="1"/>
    <col min="13" max="16384" width="9.140625" style="11"/>
  </cols>
  <sheetData>
    <row r="1" spans="1:13" s="37" customFormat="1" ht="24" customHeight="1" x14ac:dyDescent="0.2">
      <c r="B1" s="38"/>
      <c r="C1" s="38"/>
      <c r="D1" s="38"/>
      <c r="E1" s="38"/>
      <c r="F1" s="38"/>
      <c r="G1" s="38"/>
      <c r="H1" s="38"/>
      <c r="I1" s="38"/>
      <c r="J1" s="84" t="s">
        <v>72</v>
      </c>
      <c r="K1" s="83"/>
      <c r="L1" s="83"/>
    </row>
    <row r="2" spans="1:13" ht="24" customHeight="1" x14ac:dyDescent="0.2">
      <c r="B2" s="193" t="s">
        <v>71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3" ht="24" customHeight="1" x14ac:dyDescent="0.2"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</row>
    <row r="4" spans="1:13" ht="24" customHeight="1" x14ac:dyDescent="0.2">
      <c r="A4" s="24"/>
      <c r="B4" s="36" t="s">
        <v>70</v>
      </c>
      <c r="C4" s="194" t="s">
        <v>102</v>
      </c>
      <c r="D4" s="194"/>
      <c r="E4" s="85"/>
      <c r="F4" s="86"/>
      <c r="G4" s="195"/>
      <c r="H4" s="195"/>
      <c r="I4" s="35"/>
      <c r="J4" s="34" t="s">
        <v>69</v>
      </c>
      <c r="K4" s="33" t="s">
        <v>68</v>
      </c>
      <c r="L4" s="31">
        <f>MIN(Tabla1[Fecha])</f>
        <v>0</v>
      </c>
    </row>
    <row r="5" spans="1:13" ht="24" customHeight="1" x14ac:dyDescent="0.2">
      <c r="B5" s="28"/>
      <c r="C5" s="27"/>
      <c r="D5" s="27"/>
      <c r="E5" s="87"/>
      <c r="F5" s="87"/>
      <c r="G5" s="27"/>
      <c r="H5" s="27"/>
      <c r="K5" s="32" t="s">
        <v>67</v>
      </c>
      <c r="L5" s="31">
        <f>MAX(Tabla1[Fecha])</f>
        <v>0</v>
      </c>
    </row>
    <row r="6" spans="1:13" x14ac:dyDescent="0.2">
      <c r="B6" s="30" t="s">
        <v>66</v>
      </c>
      <c r="C6" s="29"/>
      <c r="D6" s="28"/>
      <c r="E6" s="28"/>
      <c r="F6" s="28"/>
      <c r="G6" s="27"/>
    </row>
    <row r="7" spans="1:13" ht="24" customHeight="1" x14ac:dyDescent="0.2">
      <c r="B7" s="26" t="s">
        <v>65</v>
      </c>
      <c r="C7" s="194"/>
      <c r="D7" s="194"/>
      <c r="F7" s="26" t="s">
        <v>64</v>
      </c>
      <c r="G7" s="194"/>
      <c r="H7" s="194"/>
      <c r="J7" s="26" t="s">
        <v>63</v>
      </c>
      <c r="K7" s="197"/>
      <c r="L7" s="197"/>
      <c r="M7" s="25"/>
    </row>
    <row r="8" spans="1:13" ht="24" customHeight="1" x14ac:dyDescent="0.2">
      <c r="B8" s="26" t="s">
        <v>62</v>
      </c>
      <c r="C8" s="196"/>
      <c r="D8" s="196"/>
      <c r="F8" s="26" t="s">
        <v>61</v>
      </c>
      <c r="G8" s="196"/>
      <c r="H8" s="196"/>
      <c r="J8" s="26" t="s">
        <v>60</v>
      </c>
      <c r="K8" s="197"/>
      <c r="L8" s="197"/>
      <c r="M8" s="25"/>
    </row>
    <row r="9" spans="1:13" ht="24" customHeight="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3" s="23" customFormat="1" ht="24" customHeight="1" x14ac:dyDescent="0.2">
      <c r="B10" s="21" t="s">
        <v>59</v>
      </c>
      <c r="C10" s="21" t="s">
        <v>58</v>
      </c>
      <c r="D10" s="21" t="s">
        <v>57</v>
      </c>
      <c r="E10" s="21" t="s">
        <v>56</v>
      </c>
      <c r="F10" s="21" t="s">
        <v>55</v>
      </c>
      <c r="G10" s="21" t="s">
        <v>54</v>
      </c>
      <c r="H10" s="21" t="s">
        <v>53</v>
      </c>
      <c r="I10" s="21" t="s">
        <v>52</v>
      </c>
      <c r="J10" s="21" t="s">
        <v>51</v>
      </c>
      <c r="K10" s="21" t="s">
        <v>50</v>
      </c>
      <c r="L10" s="21" t="s">
        <v>22</v>
      </c>
      <c r="M10" s="11"/>
    </row>
    <row r="11" spans="1:13" x14ac:dyDescent="0.2">
      <c r="B11" s="22"/>
      <c r="D11" s="21"/>
      <c r="E11" s="20"/>
      <c r="F11" s="20"/>
      <c r="G11" s="20"/>
      <c r="H11" s="20"/>
      <c r="I11" s="20"/>
      <c r="J11" s="20"/>
      <c r="K11" s="20"/>
      <c r="L11" s="81">
        <f>SUM(Tabla1[[#This Row],[Hotel]:[Varios]])</f>
        <v>0</v>
      </c>
    </row>
    <row r="12" spans="1:13" x14ac:dyDescent="0.2">
      <c r="B12" s="11" t="s">
        <v>22</v>
      </c>
      <c r="E12" s="81">
        <f>SUBTOTAL(109,Tabla1[Hotel])</f>
        <v>0</v>
      </c>
      <c r="F12" s="81">
        <f>SUBTOTAL(109,Tabla1[Transporte])</f>
        <v>0</v>
      </c>
      <c r="G12" s="81">
        <f>SUBTOTAL(109,Tabla1[Combustible])</f>
        <v>0</v>
      </c>
      <c r="H12" s="81">
        <f>SUBTOTAL(109,Tabla1[Comidas])</f>
        <v>0</v>
      </c>
      <c r="I12" s="81">
        <f>SUBTOTAL(109,Tabla1[Teléfono])</f>
        <v>0</v>
      </c>
      <c r="J12" s="81">
        <f>SUBTOTAL(109,Tabla1[Gastos representación])</f>
        <v>0</v>
      </c>
      <c r="K12" s="81">
        <f>SUBTOTAL(109,Tabla1[Varios])</f>
        <v>0</v>
      </c>
      <c r="L12" s="81">
        <f>SUBTOTAL(109,Tabla1[Total])</f>
        <v>0</v>
      </c>
    </row>
    <row r="13" spans="1:13" x14ac:dyDescent="0.2">
      <c r="C13" s="18"/>
      <c r="D13" s="18"/>
      <c r="E13" s="18"/>
      <c r="F13" s="18"/>
      <c r="G13" s="18"/>
      <c r="H13" s="18"/>
      <c r="I13" s="18"/>
      <c r="K13" s="19" t="s">
        <v>49</v>
      </c>
      <c r="L13" s="82">
        <f>SUM(Tabla1[[#Totals],[Total]])</f>
        <v>0</v>
      </c>
    </row>
    <row r="14" spans="1:13" x14ac:dyDescent="0.2">
      <c r="C14" s="18"/>
      <c r="D14" s="18"/>
      <c r="E14" s="18"/>
      <c r="F14" s="18"/>
      <c r="G14" s="18"/>
      <c r="H14" s="18"/>
      <c r="I14" s="18"/>
      <c r="K14" s="16" t="s">
        <v>48</v>
      </c>
      <c r="L14" s="15"/>
    </row>
    <row r="15" spans="1:13" x14ac:dyDescent="0.2">
      <c r="B15" s="17" t="s">
        <v>47</v>
      </c>
      <c r="C15" s="198"/>
      <c r="D15" s="198"/>
      <c r="E15" s="198"/>
      <c r="F15" s="17" t="s">
        <v>46</v>
      </c>
      <c r="G15" s="198"/>
      <c r="H15" s="198"/>
      <c r="I15" s="198"/>
      <c r="K15" s="16" t="s">
        <v>22</v>
      </c>
      <c r="L15" s="82">
        <f>(L13-L14)</f>
        <v>0</v>
      </c>
    </row>
    <row r="16" spans="1:13" x14ac:dyDescent="0.2">
      <c r="C16" s="14"/>
      <c r="D16" s="14"/>
      <c r="E16" s="14"/>
      <c r="F16" s="13"/>
      <c r="G16" s="12"/>
      <c r="H16" s="12"/>
      <c r="I16" s="12"/>
    </row>
    <row r="17" spans="3:9" x14ac:dyDescent="0.2">
      <c r="C17" s="198"/>
      <c r="D17" s="198"/>
      <c r="E17" s="198"/>
      <c r="G17" s="198"/>
      <c r="H17" s="198"/>
      <c r="I17" s="198"/>
    </row>
  </sheetData>
  <mergeCells count="13">
    <mergeCell ref="C17:E17"/>
    <mergeCell ref="G17:I17"/>
    <mergeCell ref="C15:E15"/>
    <mergeCell ref="G15:I15"/>
    <mergeCell ref="B2:L3"/>
    <mergeCell ref="C4:D4"/>
    <mergeCell ref="C7:D7"/>
    <mergeCell ref="G4:H4"/>
    <mergeCell ref="C8:D8"/>
    <mergeCell ref="G8:H8"/>
    <mergeCell ref="G7:H7"/>
    <mergeCell ref="K7:L7"/>
    <mergeCell ref="K8:L8"/>
  </mergeCells>
  <pageMargins left="0.5" right="0.5" top="0.91617647058823526" bottom="0.75" header="0.5" footer="0.5"/>
  <pageSetup scale="84" fitToHeight="0" orientation="landscape" horizontalDpi="200" verticalDpi="200" r:id="rId1"/>
  <headerFooter alignWithMargins="0">
    <oddHeader>&amp;C&amp;20Nopalini "Un color, una visión y un lugar en el tiempo"</oddHeader>
    <oddFooter>&amp;C&amp;"-,Regular"Página &amp;P de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M36"/>
  <sheetViews>
    <sheetView showGridLines="0" showZeros="0" zoomScale="85" zoomScaleNormal="85" zoomScalePageLayoutView="80" workbookViewId="0">
      <selection activeCell="E24" sqref="E24"/>
    </sheetView>
  </sheetViews>
  <sheetFormatPr baseColWidth="10" defaultColWidth="8.28515625" defaultRowHeight="12.75" x14ac:dyDescent="0.2"/>
  <cols>
    <col min="1" max="1" width="1.85546875" style="93" customWidth="1"/>
    <col min="2" max="2" width="24.85546875" style="93" customWidth="1"/>
    <col min="3" max="3" width="19.5703125" style="93" customWidth="1"/>
    <col min="4" max="8" width="22.85546875" style="93" customWidth="1"/>
    <col min="9" max="9" width="16.42578125" style="93" customWidth="1"/>
    <col min="10" max="16384" width="8.28515625" style="93"/>
  </cols>
  <sheetData>
    <row r="1" spans="2:8" ht="30" x14ac:dyDescent="0.45">
      <c r="B1" s="180" t="s">
        <v>246</v>
      </c>
      <c r="H1" s="146" t="s">
        <v>133</v>
      </c>
    </row>
    <row r="2" spans="2:8" ht="16.5" customHeight="1" x14ac:dyDescent="0.2"/>
    <row r="3" spans="2:8" ht="16.5" customHeight="1" x14ac:dyDescent="0.2"/>
    <row r="4" spans="2:8" ht="15" x14ac:dyDescent="0.25">
      <c r="B4" s="145" t="s">
        <v>132</v>
      </c>
      <c r="C4" s="200" t="s">
        <v>134</v>
      </c>
      <c r="D4" s="200"/>
      <c r="E4" s="139"/>
      <c r="F4" s="145" t="s">
        <v>131</v>
      </c>
      <c r="G4" s="200" t="s">
        <v>137</v>
      </c>
      <c r="H4" s="203"/>
    </row>
    <row r="5" spans="2:8" s="143" customFormat="1" x14ac:dyDescent="0.2"/>
    <row r="6" spans="2:8" x14ac:dyDescent="0.2">
      <c r="B6" s="142" t="s">
        <v>130</v>
      </c>
      <c r="C6" s="200" t="s">
        <v>135</v>
      </c>
      <c r="D6" s="200"/>
      <c r="E6" s="139"/>
      <c r="F6" s="144" t="s">
        <v>129</v>
      </c>
      <c r="G6" s="200" t="s">
        <v>138</v>
      </c>
      <c r="H6" s="200"/>
    </row>
    <row r="7" spans="2:8" s="143" customFormat="1" x14ac:dyDescent="0.2"/>
    <row r="8" spans="2:8" ht="26.25" x14ac:dyDescent="0.25">
      <c r="B8" s="142" t="s">
        <v>128</v>
      </c>
      <c r="C8" s="200"/>
      <c r="D8" s="200"/>
      <c r="E8" s="139"/>
      <c r="F8" s="144" t="s">
        <v>127</v>
      </c>
      <c r="G8" s="202" t="s">
        <v>139</v>
      </c>
      <c r="H8" s="200"/>
    </row>
    <row r="9" spans="2:8" s="143" customFormat="1" x14ac:dyDescent="0.2"/>
    <row r="10" spans="2:8" x14ac:dyDescent="0.2">
      <c r="B10" s="142" t="s">
        <v>126</v>
      </c>
      <c r="C10" s="200" t="s">
        <v>136</v>
      </c>
      <c r="D10" s="200"/>
      <c r="E10" s="139"/>
      <c r="F10" s="139"/>
    </row>
    <row r="11" spans="2:8" x14ac:dyDescent="0.2">
      <c r="B11" s="141"/>
      <c r="C11" s="140"/>
      <c r="D11" s="140"/>
      <c r="E11" s="139"/>
      <c r="F11" s="139"/>
    </row>
    <row r="12" spans="2:8" x14ac:dyDescent="0.2">
      <c r="B12" s="95"/>
      <c r="C12" s="137"/>
      <c r="D12" s="138"/>
      <c r="E12" s="137"/>
      <c r="F12" s="136"/>
    </row>
    <row r="13" spans="2:8" x14ac:dyDescent="0.2">
      <c r="B13" s="135" t="s">
        <v>125</v>
      </c>
      <c r="C13" s="199">
        <v>42310</v>
      </c>
      <c r="D13" s="199"/>
      <c r="E13" s="133"/>
      <c r="F13" s="130"/>
    </row>
    <row r="14" spans="2:8" x14ac:dyDescent="0.2">
      <c r="B14" s="132"/>
      <c r="C14" s="134"/>
      <c r="D14" s="134"/>
      <c r="E14" s="133"/>
      <c r="F14" s="130"/>
    </row>
    <row r="15" spans="2:8" x14ac:dyDescent="0.2">
      <c r="B15" s="132"/>
      <c r="D15" s="131"/>
      <c r="E15" s="131"/>
      <c r="F15" s="130"/>
    </row>
    <row r="17" spans="2:8" ht="29.25" customHeight="1" x14ac:dyDescent="0.2">
      <c r="B17" s="129" t="s">
        <v>124</v>
      </c>
      <c r="C17" s="129" t="s">
        <v>59</v>
      </c>
      <c r="D17" s="127" t="s">
        <v>123</v>
      </c>
      <c r="E17" s="127" t="s">
        <v>122</v>
      </c>
      <c r="F17" s="127" t="s">
        <v>121</v>
      </c>
      <c r="G17" s="128" t="s">
        <v>120</v>
      </c>
      <c r="H17" s="127" t="s">
        <v>22</v>
      </c>
    </row>
    <row r="18" spans="2:8" ht="23.25" customHeight="1" x14ac:dyDescent="0.2">
      <c r="B18" s="122" t="s">
        <v>119</v>
      </c>
      <c r="C18" s="121">
        <f>IF($C$13=0,"",$C$13-6)</f>
        <v>42304</v>
      </c>
      <c r="D18" s="111">
        <v>8</v>
      </c>
      <c r="E18" s="111">
        <v>0</v>
      </c>
      <c r="F18" s="111"/>
      <c r="G18" s="120"/>
      <c r="H18" s="111">
        <f t="shared" ref="H18:H24" si="0">IF(SUM(D18:G18)&gt;24,"Total &gt; 24 horas.",SUM(D18:G18))</f>
        <v>8</v>
      </c>
    </row>
    <row r="19" spans="2:8" ht="23.25" customHeight="1" x14ac:dyDescent="0.2">
      <c r="B19" s="126" t="s">
        <v>118</v>
      </c>
      <c r="C19" s="125">
        <f>IF($C$13=0,"",$C$13-5)</f>
        <v>42305</v>
      </c>
      <c r="D19" s="124">
        <v>3</v>
      </c>
      <c r="E19" s="116"/>
      <c r="F19" s="116"/>
      <c r="G19" s="123"/>
      <c r="H19" s="116">
        <f t="shared" si="0"/>
        <v>3</v>
      </c>
    </row>
    <row r="20" spans="2:8" ht="23.25" customHeight="1" x14ac:dyDescent="0.2">
      <c r="B20" s="122" t="s">
        <v>117</v>
      </c>
      <c r="C20" s="121">
        <f>IF($C$13=0,"",$C$13-4)</f>
        <v>42306</v>
      </c>
      <c r="D20" s="111"/>
      <c r="E20" s="111"/>
      <c r="F20" s="111"/>
      <c r="G20" s="120"/>
      <c r="H20" s="111">
        <f t="shared" si="0"/>
        <v>0</v>
      </c>
    </row>
    <row r="21" spans="2:8" ht="23.25" customHeight="1" x14ac:dyDescent="0.2">
      <c r="B21" s="119" t="s">
        <v>116</v>
      </c>
      <c r="C21" s="118">
        <f>IF($C$13=0,"",$C$13-3)</f>
        <v>42307</v>
      </c>
      <c r="D21" s="116"/>
      <c r="E21" s="116"/>
      <c r="F21" s="116"/>
      <c r="G21" s="117"/>
      <c r="H21" s="116">
        <f t="shared" si="0"/>
        <v>0</v>
      </c>
    </row>
    <row r="22" spans="2:8" ht="23.25" customHeight="1" x14ac:dyDescent="0.2">
      <c r="B22" s="122" t="s">
        <v>115</v>
      </c>
      <c r="C22" s="121">
        <f>IF($C$13=0,"",$C$13-2)</f>
        <v>42308</v>
      </c>
      <c r="D22" s="111"/>
      <c r="E22" s="111"/>
      <c r="F22" s="111"/>
      <c r="G22" s="120"/>
      <c r="H22" s="111">
        <f t="shared" si="0"/>
        <v>0</v>
      </c>
    </row>
    <row r="23" spans="2:8" ht="23.25" customHeight="1" x14ac:dyDescent="0.2">
      <c r="B23" s="119" t="s">
        <v>114</v>
      </c>
      <c r="C23" s="118">
        <f>IF($C$13=0,"",$C$13-1)</f>
        <v>42309</v>
      </c>
      <c r="D23" s="116"/>
      <c r="E23" s="116"/>
      <c r="F23" s="116"/>
      <c r="G23" s="117"/>
      <c r="H23" s="116">
        <f t="shared" si="0"/>
        <v>0</v>
      </c>
    </row>
    <row r="24" spans="2:8" ht="23.25" customHeight="1" x14ac:dyDescent="0.2">
      <c r="B24" s="115" t="s">
        <v>113</v>
      </c>
      <c r="C24" s="114">
        <f>IF($C$13=0,"",$C$13)</f>
        <v>42310</v>
      </c>
      <c r="D24" s="113"/>
      <c r="E24" s="111"/>
      <c r="F24" s="111"/>
      <c r="G24" s="112"/>
      <c r="H24" s="111">
        <f t="shared" si="0"/>
        <v>0</v>
      </c>
    </row>
    <row r="25" spans="2:8" ht="23.25" customHeight="1" x14ac:dyDescent="0.2">
      <c r="B25" s="110" t="s">
        <v>112</v>
      </c>
      <c r="C25" s="109"/>
      <c r="D25" s="107">
        <f>SUM(D18:D24)</f>
        <v>11</v>
      </c>
      <c r="E25" s="107">
        <f>SUM(E18:E24)</f>
        <v>0</v>
      </c>
      <c r="F25" s="107">
        <f>SUM(F18:F24)</f>
        <v>0</v>
      </c>
      <c r="G25" s="108">
        <f>SUM(G18:G24)</f>
        <v>0</v>
      </c>
      <c r="H25" s="107">
        <f>SUM(H18:H24)</f>
        <v>11</v>
      </c>
    </row>
    <row r="26" spans="2:8" ht="23.25" customHeight="1" x14ac:dyDescent="0.2">
      <c r="B26" s="104" t="s">
        <v>111</v>
      </c>
      <c r="C26" s="103"/>
      <c r="D26" s="106"/>
      <c r="E26" s="106"/>
      <c r="F26" s="106"/>
      <c r="G26" s="105"/>
      <c r="H26" s="147">
        <v>14</v>
      </c>
    </row>
    <row r="27" spans="2:8" ht="23.25" customHeight="1" x14ac:dyDescent="0.2">
      <c r="B27" s="104" t="s">
        <v>110</v>
      </c>
      <c r="C27" s="103"/>
      <c r="D27" s="147">
        <f>D25*D26</f>
        <v>0</v>
      </c>
      <c r="E27" s="147">
        <f>E25*E26</f>
        <v>0</v>
      </c>
      <c r="F27" s="147">
        <f>F25*F26</f>
        <v>0</v>
      </c>
      <c r="G27" s="148">
        <f>G25*G26</f>
        <v>0</v>
      </c>
      <c r="H27" s="147">
        <f>SUM(D27:G27)</f>
        <v>0</v>
      </c>
    </row>
    <row r="28" spans="2:8" ht="16.5" customHeight="1" x14ac:dyDescent="0.2"/>
    <row r="29" spans="2:8" ht="16.5" customHeight="1" x14ac:dyDescent="0.2"/>
    <row r="30" spans="2:8" ht="16.5" customHeight="1" x14ac:dyDescent="0.2"/>
    <row r="31" spans="2:8" ht="16.5" customHeight="1" x14ac:dyDescent="0.2"/>
    <row r="32" spans="2:8" ht="39" customHeight="1" x14ac:dyDescent="0.2">
      <c r="D32" s="200"/>
      <c r="E32" s="200"/>
      <c r="F32" s="200"/>
      <c r="G32" s="200"/>
      <c r="H32" s="99"/>
    </row>
    <row r="33" spans="2:13" ht="17.100000000000001" customHeight="1" x14ac:dyDescent="0.2">
      <c r="B33" s="102"/>
      <c r="C33" s="102"/>
      <c r="D33" s="101" t="s">
        <v>109</v>
      </c>
      <c r="E33" s="95"/>
      <c r="F33" s="100"/>
      <c r="G33" s="95"/>
      <c r="H33" s="94" t="s">
        <v>59</v>
      </c>
    </row>
    <row r="34" spans="2:13" ht="39" customHeight="1" x14ac:dyDescent="0.2">
      <c r="D34" s="201"/>
      <c r="E34" s="201"/>
      <c r="F34" s="201"/>
      <c r="G34" s="201"/>
      <c r="H34" s="99"/>
      <c r="M34" s="98"/>
    </row>
    <row r="35" spans="2:13" ht="17.25" customHeight="1" x14ac:dyDescent="0.2">
      <c r="D35" s="97" t="s">
        <v>108</v>
      </c>
      <c r="E35" s="95"/>
      <c r="F35" s="96"/>
      <c r="G35" s="95"/>
      <c r="H35" s="94" t="s">
        <v>59</v>
      </c>
    </row>
    <row r="36" spans="2:13" ht="17.100000000000001" customHeight="1" x14ac:dyDescent="0.2"/>
  </sheetData>
  <mergeCells count="10">
    <mergeCell ref="C13:D13"/>
    <mergeCell ref="D32:G32"/>
    <mergeCell ref="D34:G34"/>
    <mergeCell ref="G8:H8"/>
    <mergeCell ref="C4:D4"/>
    <mergeCell ref="C6:D6"/>
    <mergeCell ref="C8:D8"/>
    <mergeCell ref="G4:H4"/>
    <mergeCell ref="G6:H6"/>
    <mergeCell ref="C10:D10"/>
  </mergeCells>
  <hyperlinks>
    <hyperlink ref="G8" r:id="rId1"/>
  </hyperlinks>
  <pageMargins left="0.5" right="0.5" top="1" bottom="1" header="0.5" footer="0"/>
  <pageSetup orientation="portrait" horizontalDpi="4294967294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278"/>
  <sheetViews>
    <sheetView workbookViewId="0">
      <selection activeCell="B2" sqref="B2"/>
    </sheetView>
  </sheetViews>
  <sheetFormatPr baseColWidth="10" defaultColWidth="9.140625" defaultRowHeight="15" x14ac:dyDescent="0.25"/>
  <cols>
    <col min="1" max="1" width="20.5703125" style="90" customWidth="1"/>
    <col min="2" max="2" width="23.42578125" style="89" customWidth="1"/>
    <col min="3" max="6" width="12.7109375" style="89" customWidth="1"/>
    <col min="7" max="8" width="9.140625" style="89"/>
    <col min="9" max="9" width="11.5703125" style="89" bestFit="1" customWidth="1"/>
    <col min="10" max="16384" width="9.140625" style="89"/>
  </cols>
  <sheetData>
    <row r="1" spans="1:9" x14ac:dyDescent="0.25">
      <c r="A1" s="92" t="s">
        <v>107</v>
      </c>
      <c r="B1" s="92" t="s">
        <v>106</v>
      </c>
      <c r="C1" s="92" t="s">
        <v>215</v>
      </c>
      <c r="D1" s="92" t="s">
        <v>216</v>
      </c>
      <c r="E1" s="92" t="s">
        <v>217</v>
      </c>
      <c r="F1" s="92" t="s">
        <v>218</v>
      </c>
    </row>
    <row r="2" spans="1:9" x14ac:dyDescent="0.25">
      <c r="A2" s="90" t="s">
        <v>219</v>
      </c>
      <c r="B2" s="89" t="s">
        <v>220</v>
      </c>
      <c r="C2" s="174">
        <f>75*50</f>
        <v>3750</v>
      </c>
      <c r="D2" s="174"/>
      <c r="E2" s="174">
        <f>75*10</f>
        <v>750</v>
      </c>
      <c r="F2" s="174"/>
    </row>
    <row r="3" spans="1:9" x14ac:dyDescent="0.25">
      <c r="A3" s="90" t="s">
        <v>219</v>
      </c>
      <c r="B3" s="89" t="s">
        <v>221</v>
      </c>
      <c r="C3" s="174"/>
      <c r="D3" s="174">
        <f>75*2</f>
        <v>150</v>
      </c>
      <c r="E3" s="174">
        <f>75*25</f>
        <v>1875</v>
      </c>
      <c r="F3" s="174"/>
    </row>
    <row r="4" spans="1:9" x14ac:dyDescent="0.25">
      <c r="A4" s="90" t="s">
        <v>219</v>
      </c>
      <c r="B4" s="89" t="s">
        <v>222</v>
      </c>
      <c r="C4" s="174">
        <f>75*2</f>
        <v>150</v>
      </c>
      <c r="D4" s="174"/>
      <c r="E4" s="174"/>
      <c r="F4" s="174">
        <f>75*25</f>
        <v>1875</v>
      </c>
      <c r="I4" s="175"/>
    </row>
    <row r="5" spans="1:9" x14ac:dyDescent="0.25">
      <c r="A5" s="90" t="s">
        <v>219</v>
      </c>
      <c r="B5" s="89" t="s">
        <v>223</v>
      </c>
      <c r="C5" s="174"/>
      <c r="D5" s="174">
        <f>75*7</f>
        <v>525</v>
      </c>
      <c r="E5" s="174"/>
      <c r="F5" s="174">
        <f>75*7</f>
        <v>525</v>
      </c>
    </row>
    <row r="6" spans="1:9" x14ac:dyDescent="0.25">
      <c r="A6" s="90" t="s">
        <v>219</v>
      </c>
      <c r="B6" s="89" t="s">
        <v>224</v>
      </c>
      <c r="C6" s="174">
        <f>75*10</f>
        <v>750</v>
      </c>
      <c r="D6" s="174"/>
      <c r="E6" s="174">
        <f>75*10</f>
        <v>750</v>
      </c>
      <c r="F6" s="174">
        <f>75*2</f>
        <v>150</v>
      </c>
    </row>
    <row r="7" spans="1:9" x14ac:dyDescent="0.25">
      <c r="A7" s="90" t="s">
        <v>219</v>
      </c>
      <c r="B7" s="89" t="s">
        <v>225</v>
      </c>
      <c r="C7" s="174"/>
      <c r="D7" s="174">
        <f>75*2</f>
        <v>150</v>
      </c>
      <c r="E7" s="174"/>
      <c r="F7" s="174"/>
    </row>
    <row r="8" spans="1:9" x14ac:dyDescent="0.25">
      <c r="A8" s="90" t="s">
        <v>219</v>
      </c>
      <c r="B8" s="89" t="s">
        <v>226</v>
      </c>
      <c r="C8" s="174">
        <f>75*10</f>
        <v>750</v>
      </c>
      <c r="D8" s="174"/>
      <c r="E8" s="174">
        <f>75*2</f>
        <v>150</v>
      </c>
      <c r="F8" s="174"/>
    </row>
    <row r="9" spans="1:9" x14ac:dyDescent="0.25">
      <c r="A9" s="90" t="s">
        <v>219</v>
      </c>
      <c r="B9" s="89" t="s">
        <v>227</v>
      </c>
      <c r="C9" s="174">
        <f>75*2</f>
        <v>150</v>
      </c>
      <c r="D9" s="174"/>
      <c r="E9" s="174"/>
      <c r="F9" s="174">
        <f>75*7</f>
        <v>525</v>
      </c>
    </row>
    <row r="10" spans="1:9" x14ac:dyDescent="0.25">
      <c r="A10" s="90" t="s">
        <v>219</v>
      </c>
      <c r="B10" s="89" t="s">
        <v>228</v>
      </c>
      <c r="C10" s="174"/>
      <c r="D10" s="174">
        <f>75*10</f>
        <v>750</v>
      </c>
      <c r="E10" s="174"/>
      <c r="F10" s="174">
        <f>75*10</f>
        <v>750</v>
      </c>
    </row>
    <row r="11" spans="1:9" x14ac:dyDescent="0.25">
      <c r="A11" s="90" t="s">
        <v>219</v>
      </c>
      <c r="B11" s="89" t="s">
        <v>229</v>
      </c>
      <c r="C11" s="174">
        <f>75*7</f>
        <v>525</v>
      </c>
      <c r="D11" s="174"/>
      <c r="E11" s="174"/>
      <c r="F11" s="174"/>
    </row>
    <row r="12" spans="1:9" x14ac:dyDescent="0.25">
      <c r="A12" s="90" t="s">
        <v>219</v>
      </c>
      <c r="B12" s="89" t="s">
        <v>230</v>
      </c>
      <c r="C12" s="174"/>
      <c r="D12" s="174"/>
      <c r="E12" s="174">
        <f>75*2</f>
        <v>150</v>
      </c>
      <c r="F12" s="174"/>
    </row>
    <row r="13" spans="1:9" x14ac:dyDescent="0.25">
      <c r="A13" s="90" t="s">
        <v>219</v>
      </c>
      <c r="B13" s="89" t="s">
        <v>231</v>
      </c>
      <c r="C13" s="174">
        <f>75*2</f>
        <v>150</v>
      </c>
      <c r="D13" s="174">
        <f>75*10</f>
        <v>750</v>
      </c>
      <c r="E13" s="174"/>
      <c r="F13" s="174"/>
    </row>
    <row r="14" spans="1:9" x14ac:dyDescent="0.25">
      <c r="A14" s="90" t="s">
        <v>219</v>
      </c>
      <c r="B14" s="89" t="s">
        <v>232</v>
      </c>
      <c r="C14" s="174">
        <f>75*7</f>
        <v>525</v>
      </c>
      <c r="D14" s="174"/>
      <c r="E14" s="174">
        <f>75*7</f>
        <v>525</v>
      </c>
      <c r="F14" s="174">
        <f>75*2</f>
        <v>150</v>
      </c>
    </row>
    <row r="15" spans="1:9" x14ac:dyDescent="0.25">
      <c r="A15" s="90" t="s">
        <v>219</v>
      </c>
      <c r="B15" s="89" t="s">
        <v>233</v>
      </c>
      <c r="C15" s="174">
        <f>75*10</f>
        <v>750</v>
      </c>
      <c r="D15" s="174"/>
      <c r="E15" s="174">
        <f>75*2</f>
        <v>150</v>
      </c>
      <c r="F15" s="174"/>
    </row>
    <row r="16" spans="1:9" x14ac:dyDescent="0.25">
      <c r="A16" s="90" t="s">
        <v>219</v>
      </c>
      <c r="B16" s="89" t="s">
        <v>234</v>
      </c>
      <c r="C16" s="174">
        <f>75*2</f>
        <v>150</v>
      </c>
      <c r="D16" s="174">
        <f>75*25</f>
        <v>1875</v>
      </c>
      <c r="E16" s="174"/>
      <c r="F16" s="174">
        <f>75*7</f>
        <v>525</v>
      </c>
    </row>
    <row r="17" spans="1:6" x14ac:dyDescent="0.25">
      <c r="A17" s="90" t="s">
        <v>219</v>
      </c>
      <c r="B17" s="89" t="s">
        <v>235</v>
      </c>
      <c r="C17" s="174"/>
      <c r="D17" s="174">
        <f>75*10</f>
        <v>750</v>
      </c>
      <c r="E17" s="174"/>
      <c r="F17" s="174">
        <f>75*10</f>
        <v>750</v>
      </c>
    </row>
    <row r="18" spans="1:6" x14ac:dyDescent="0.25">
      <c r="A18" s="90" t="s">
        <v>219</v>
      </c>
      <c r="B18" s="89" t="s">
        <v>236</v>
      </c>
      <c r="C18" s="174">
        <f>75*7</f>
        <v>525</v>
      </c>
      <c r="D18" s="174"/>
      <c r="E18" s="174"/>
      <c r="F18" s="174"/>
    </row>
    <row r="19" spans="1:6" x14ac:dyDescent="0.25">
      <c r="A19" s="90" t="s">
        <v>219</v>
      </c>
      <c r="B19" s="89" t="s">
        <v>237</v>
      </c>
      <c r="C19" s="174"/>
      <c r="D19" s="174"/>
      <c r="E19" s="174">
        <f>75*2</f>
        <v>150</v>
      </c>
      <c r="F19" s="174"/>
    </row>
    <row r="20" spans="1:6" x14ac:dyDescent="0.25">
      <c r="A20" s="90" t="s">
        <v>219</v>
      </c>
      <c r="B20" s="89" t="s">
        <v>238</v>
      </c>
      <c r="C20" s="174">
        <f>75*100</f>
        <v>7500</v>
      </c>
      <c r="D20" s="174">
        <f>75*38</f>
        <v>2850</v>
      </c>
      <c r="E20" s="174"/>
      <c r="F20" s="174"/>
    </row>
    <row r="21" spans="1:6" x14ac:dyDescent="0.25">
      <c r="A21" s="90" t="s">
        <v>219</v>
      </c>
      <c r="B21" s="89" t="s">
        <v>239</v>
      </c>
      <c r="C21" s="174">
        <f>75*7</f>
        <v>525</v>
      </c>
      <c r="D21" s="174"/>
      <c r="E21" s="174">
        <f>75*7</f>
        <v>525</v>
      </c>
      <c r="F21" s="174">
        <f>75*2</f>
        <v>150</v>
      </c>
    </row>
    <row r="22" spans="1:6" x14ac:dyDescent="0.25">
      <c r="A22" s="90" t="s">
        <v>219</v>
      </c>
      <c r="B22" s="89" t="s">
        <v>240</v>
      </c>
      <c r="C22" s="174">
        <f>75*2</f>
        <v>150</v>
      </c>
      <c r="D22" s="174"/>
      <c r="E22" s="174"/>
      <c r="F22" s="174">
        <f>75*7</f>
        <v>525</v>
      </c>
    </row>
    <row r="23" spans="1:6" x14ac:dyDescent="0.25">
      <c r="A23" s="90" t="s">
        <v>219</v>
      </c>
      <c r="B23" s="89" t="s">
        <v>241</v>
      </c>
      <c r="C23" s="174"/>
      <c r="D23" s="174">
        <f>75*10</f>
        <v>750</v>
      </c>
      <c r="E23" s="174"/>
      <c r="F23" s="174">
        <f>75*10</f>
        <v>750</v>
      </c>
    </row>
    <row r="24" spans="1:6" x14ac:dyDescent="0.25">
      <c r="A24" s="90" t="s">
        <v>219</v>
      </c>
      <c r="B24" s="89" t="s">
        <v>242</v>
      </c>
      <c r="C24" s="174">
        <f>75*7</f>
        <v>525</v>
      </c>
      <c r="D24" s="174"/>
      <c r="E24" s="174">
        <f>75*29</f>
        <v>2175</v>
      </c>
      <c r="F24" s="174"/>
    </row>
    <row r="25" spans="1:6" x14ac:dyDescent="0.25">
      <c r="A25" s="90" t="s">
        <v>219</v>
      </c>
      <c r="B25" s="89" t="s">
        <v>243</v>
      </c>
      <c r="C25" s="174"/>
      <c r="D25" s="174"/>
      <c r="E25" s="174">
        <f>75*2</f>
        <v>150</v>
      </c>
      <c r="F25" s="174"/>
    </row>
    <row r="26" spans="1:6" x14ac:dyDescent="0.25">
      <c r="B26" s="176" t="s">
        <v>244</v>
      </c>
      <c r="C26" s="177">
        <f>SUM(C2:C24)</f>
        <v>16875</v>
      </c>
      <c r="D26" s="177">
        <f>SUM(D2:D25)</f>
        <v>8550</v>
      </c>
      <c r="E26" s="177">
        <f>SUM(E2:E25)</f>
        <v>7350</v>
      </c>
      <c r="F26" s="177">
        <f>SUM(F2:F25)</f>
        <v>6675</v>
      </c>
    </row>
    <row r="27" spans="1:6" x14ac:dyDescent="0.25">
      <c r="C27" s="91"/>
      <c r="D27" s="91"/>
      <c r="E27" s="91"/>
      <c r="F27" s="91"/>
    </row>
    <row r="28" spans="1:6" ht="42" customHeight="1" x14ac:dyDescent="0.25">
      <c r="C28" s="91"/>
      <c r="D28" s="178" t="s">
        <v>245</v>
      </c>
      <c r="E28" s="179">
        <f>SUM(C26:F26)</f>
        <v>39450</v>
      </c>
      <c r="F28" s="91"/>
    </row>
    <row r="29" spans="1:6" x14ac:dyDescent="0.25">
      <c r="C29" s="91"/>
      <c r="D29" s="91"/>
      <c r="E29" s="91"/>
      <c r="F29" s="91"/>
    </row>
    <row r="30" spans="1:6" x14ac:dyDescent="0.25">
      <c r="C30" s="91"/>
      <c r="D30" s="91"/>
      <c r="E30" s="91"/>
      <c r="F30" s="91"/>
    </row>
    <row r="31" spans="1:6" x14ac:dyDescent="0.25">
      <c r="C31" s="91"/>
      <c r="D31" s="91"/>
      <c r="E31" s="91"/>
      <c r="F31" s="91"/>
    </row>
    <row r="32" spans="1:6" x14ac:dyDescent="0.25">
      <c r="C32" s="91"/>
      <c r="D32" s="91"/>
      <c r="E32" s="91"/>
      <c r="F32" s="91"/>
    </row>
    <row r="33" spans="3:6" x14ac:dyDescent="0.25">
      <c r="C33" s="91"/>
      <c r="D33" s="91"/>
      <c r="E33" s="91"/>
      <c r="F33" s="91"/>
    </row>
    <row r="34" spans="3:6" x14ac:dyDescent="0.25">
      <c r="C34" s="91"/>
      <c r="D34" s="91"/>
      <c r="E34" s="91"/>
      <c r="F34" s="91"/>
    </row>
    <row r="35" spans="3:6" x14ac:dyDescent="0.25">
      <c r="C35" s="91"/>
      <c r="D35" s="91"/>
      <c r="E35" s="91"/>
      <c r="F35" s="91"/>
    </row>
    <row r="36" spans="3:6" x14ac:dyDescent="0.25">
      <c r="C36" s="91"/>
      <c r="D36" s="91"/>
      <c r="E36" s="91"/>
      <c r="F36" s="91"/>
    </row>
    <row r="37" spans="3:6" x14ac:dyDescent="0.25">
      <c r="C37" s="91"/>
      <c r="D37" s="91"/>
      <c r="E37" s="91"/>
      <c r="F37" s="91"/>
    </row>
    <row r="38" spans="3:6" x14ac:dyDescent="0.25">
      <c r="C38" s="91"/>
      <c r="D38" s="91"/>
      <c r="E38" s="91"/>
      <c r="F38" s="91"/>
    </row>
    <row r="39" spans="3:6" x14ac:dyDescent="0.25">
      <c r="C39" s="91"/>
      <c r="D39" s="91"/>
      <c r="E39" s="91"/>
      <c r="F39" s="91"/>
    </row>
    <row r="40" spans="3:6" x14ac:dyDescent="0.25">
      <c r="C40" s="91"/>
      <c r="D40" s="91"/>
      <c r="E40" s="91"/>
      <c r="F40" s="91"/>
    </row>
    <row r="41" spans="3:6" x14ac:dyDescent="0.25">
      <c r="C41" s="91"/>
      <c r="D41" s="91"/>
      <c r="E41" s="91"/>
      <c r="F41" s="91"/>
    </row>
    <row r="42" spans="3:6" x14ac:dyDescent="0.25">
      <c r="C42" s="91"/>
      <c r="D42" s="91"/>
      <c r="E42" s="91"/>
      <c r="F42" s="91"/>
    </row>
    <row r="43" spans="3:6" x14ac:dyDescent="0.25">
      <c r="C43" s="91"/>
      <c r="D43" s="91"/>
      <c r="E43" s="91"/>
      <c r="F43" s="91"/>
    </row>
    <row r="44" spans="3:6" x14ac:dyDescent="0.25">
      <c r="C44" s="91"/>
      <c r="D44" s="91"/>
      <c r="E44" s="91"/>
      <c r="F44" s="91"/>
    </row>
    <row r="45" spans="3:6" x14ac:dyDescent="0.25">
      <c r="C45" s="91"/>
      <c r="D45" s="91"/>
      <c r="E45" s="91"/>
      <c r="F45" s="91"/>
    </row>
    <row r="46" spans="3:6" x14ac:dyDescent="0.25">
      <c r="C46" s="91"/>
      <c r="D46" s="91"/>
      <c r="E46" s="91"/>
      <c r="F46" s="91"/>
    </row>
    <row r="47" spans="3:6" x14ac:dyDescent="0.25">
      <c r="C47" s="91"/>
      <c r="D47" s="91"/>
      <c r="E47" s="91"/>
      <c r="F47" s="91"/>
    </row>
    <row r="48" spans="3:6" x14ac:dyDescent="0.25">
      <c r="C48" s="91"/>
      <c r="D48" s="91"/>
      <c r="E48" s="91"/>
      <c r="F48" s="91"/>
    </row>
    <row r="49" spans="3:6" x14ac:dyDescent="0.25">
      <c r="C49" s="91"/>
      <c r="D49" s="91"/>
      <c r="E49" s="91"/>
      <c r="F49" s="91"/>
    </row>
    <row r="50" spans="3:6" x14ac:dyDescent="0.25">
      <c r="C50" s="91"/>
      <c r="D50" s="91"/>
      <c r="E50" s="91"/>
      <c r="F50" s="91"/>
    </row>
    <row r="51" spans="3:6" x14ac:dyDescent="0.25">
      <c r="C51" s="91"/>
      <c r="D51" s="91"/>
      <c r="E51" s="91"/>
      <c r="F51" s="91"/>
    </row>
    <row r="52" spans="3:6" x14ac:dyDescent="0.25">
      <c r="C52" s="91"/>
      <c r="D52" s="91"/>
      <c r="E52" s="91"/>
      <c r="F52" s="91"/>
    </row>
    <row r="53" spans="3:6" x14ac:dyDescent="0.25">
      <c r="C53" s="91"/>
      <c r="D53" s="91"/>
      <c r="E53" s="91"/>
      <c r="F53" s="91"/>
    </row>
    <row r="54" spans="3:6" x14ac:dyDescent="0.25">
      <c r="C54" s="91"/>
      <c r="D54" s="91"/>
      <c r="E54" s="91"/>
      <c r="F54" s="91"/>
    </row>
    <row r="55" spans="3:6" x14ac:dyDescent="0.25">
      <c r="C55" s="91"/>
      <c r="D55" s="91"/>
      <c r="E55" s="91"/>
      <c r="F55" s="91"/>
    </row>
    <row r="56" spans="3:6" x14ac:dyDescent="0.25">
      <c r="C56" s="91"/>
      <c r="D56" s="91"/>
      <c r="E56" s="91"/>
      <c r="F56" s="91"/>
    </row>
    <row r="57" spans="3:6" x14ac:dyDescent="0.25">
      <c r="C57" s="91"/>
      <c r="D57" s="91"/>
      <c r="E57" s="91"/>
      <c r="F57" s="91"/>
    </row>
    <row r="58" spans="3:6" x14ac:dyDescent="0.25">
      <c r="C58" s="91"/>
      <c r="D58" s="91"/>
      <c r="E58" s="91"/>
      <c r="F58" s="91"/>
    </row>
    <row r="59" spans="3:6" x14ac:dyDescent="0.25">
      <c r="C59" s="91"/>
      <c r="D59" s="91"/>
      <c r="E59" s="91"/>
      <c r="F59" s="91"/>
    </row>
    <row r="60" spans="3:6" x14ac:dyDescent="0.25">
      <c r="C60" s="91"/>
      <c r="D60" s="91"/>
      <c r="E60" s="91"/>
      <c r="F60" s="91"/>
    </row>
    <row r="61" spans="3:6" x14ac:dyDescent="0.25">
      <c r="C61" s="91"/>
      <c r="D61" s="91"/>
      <c r="E61" s="91"/>
      <c r="F61" s="91"/>
    </row>
    <row r="62" spans="3:6" x14ac:dyDescent="0.25">
      <c r="C62" s="91"/>
      <c r="D62" s="91"/>
      <c r="E62" s="91"/>
      <c r="F62" s="91"/>
    </row>
    <row r="63" spans="3:6" x14ac:dyDescent="0.25">
      <c r="C63" s="91"/>
      <c r="D63" s="91"/>
      <c r="E63" s="91"/>
      <c r="F63" s="91"/>
    </row>
    <row r="64" spans="3:6" x14ac:dyDescent="0.25">
      <c r="C64" s="91"/>
      <c r="D64" s="91"/>
      <c r="E64" s="91"/>
      <c r="F64" s="91"/>
    </row>
    <row r="65" spans="3:6" x14ac:dyDescent="0.25">
      <c r="C65" s="91"/>
      <c r="D65" s="91"/>
      <c r="E65" s="91"/>
      <c r="F65" s="91"/>
    </row>
    <row r="66" spans="3:6" x14ac:dyDescent="0.25">
      <c r="C66" s="91"/>
      <c r="D66" s="91"/>
      <c r="E66" s="91"/>
      <c r="F66" s="91"/>
    </row>
    <row r="67" spans="3:6" x14ac:dyDescent="0.25">
      <c r="C67" s="91"/>
      <c r="D67" s="91"/>
      <c r="E67" s="91"/>
      <c r="F67" s="91"/>
    </row>
    <row r="68" spans="3:6" x14ac:dyDescent="0.25">
      <c r="C68" s="91"/>
      <c r="D68" s="91"/>
      <c r="E68" s="91"/>
      <c r="F68" s="91"/>
    </row>
    <row r="69" spans="3:6" x14ac:dyDescent="0.25">
      <c r="C69" s="91"/>
      <c r="D69" s="91"/>
      <c r="E69" s="91"/>
      <c r="F69" s="91"/>
    </row>
    <row r="70" spans="3:6" x14ac:dyDescent="0.25">
      <c r="C70" s="91"/>
      <c r="D70" s="91"/>
      <c r="E70" s="91"/>
      <c r="F70" s="91"/>
    </row>
    <row r="71" spans="3:6" x14ac:dyDescent="0.25">
      <c r="C71" s="91"/>
      <c r="D71" s="91"/>
      <c r="E71" s="91"/>
      <c r="F71" s="91"/>
    </row>
    <row r="72" spans="3:6" x14ac:dyDescent="0.25">
      <c r="C72" s="91"/>
      <c r="D72" s="91"/>
      <c r="E72" s="91"/>
      <c r="F72" s="91"/>
    </row>
    <row r="73" spans="3:6" x14ac:dyDescent="0.25">
      <c r="C73" s="91"/>
      <c r="D73" s="91"/>
      <c r="E73" s="91"/>
      <c r="F73" s="91"/>
    </row>
    <row r="74" spans="3:6" x14ac:dyDescent="0.25">
      <c r="C74" s="91"/>
      <c r="D74" s="91"/>
      <c r="E74" s="91"/>
      <c r="F74" s="91"/>
    </row>
    <row r="75" spans="3:6" x14ac:dyDescent="0.25">
      <c r="C75" s="91"/>
      <c r="D75" s="91"/>
      <c r="E75" s="91"/>
      <c r="F75" s="91"/>
    </row>
    <row r="76" spans="3:6" x14ac:dyDescent="0.25">
      <c r="C76" s="91"/>
      <c r="D76" s="91"/>
      <c r="E76" s="91"/>
      <c r="F76" s="91"/>
    </row>
    <row r="77" spans="3:6" x14ac:dyDescent="0.25">
      <c r="C77" s="91"/>
      <c r="D77" s="91"/>
      <c r="E77" s="91"/>
      <c r="F77" s="91"/>
    </row>
    <row r="78" spans="3:6" x14ac:dyDescent="0.25">
      <c r="C78" s="91"/>
      <c r="D78" s="91"/>
      <c r="E78" s="91"/>
      <c r="F78" s="91"/>
    </row>
    <row r="79" spans="3:6" x14ac:dyDescent="0.25">
      <c r="C79" s="91"/>
      <c r="D79" s="91"/>
      <c r="E79" s="91"/>
      <c r="F79" s="91"/>
    </row>
    <row r="80" spans="3:6" x14ac:dyDescent="0.25">
      <c r="C80" s="91"/>
      <c r="D80" s="91"/>
      <c r="E80" s="91"/>
      <c r="F80" s="91"/>
    </row>
    <row r="81" spans="3:6" x14ac:dyDescent="0.25">
      <c r="C81" s="91"/>
      <c r="D81" s="91"/>
      <c r="E81" s="91"/>
      <c r="F81" s="91"/>
    </row>
    <row r="82" spans="3:6" x14ac:dyDescent="0.25">
      <c r="C82" s="91"/>
      <c r="D82" s="91"/>
      <c r="E82" s="91"/>
      <c r="F82" s="91"/>
    </row>
    <row r="83" spans="3:6" x14ac:dyDescent="0.25">
      <c r="C83" s="91"/>
      <c r="D83" s="91"/>
      <c r="E83" s="91"/>
      <c r="F83" s="91"/>
    </row>
    <row r="84" spans="3:6" x14ac:dyDescent="0.25">
      <c r="C84" s="91"/>
      <c r="D84" s="91"/>
      <c r="E84" s="91"/>
      <c r="F84" s="91"/>
    </row>
    <row r="85" spans="3:6" x14ac:dyDescent="0.25">
      <c r="C85" s="91"/>
      <c r="D85" s="91"/>
      <c r="E85" s="91"/>
      <c r="F85" s="91"/>
    </row>
    <row r="86" spans="3:6" x14ac:dyDescent="0.25">
      <c r="C86" s="91"/>
      <c r="D86" s="91"/>
      <c r="E86" s="91"/>
      <c r="F86" s="91"/>
    </row>
    <row r="87" spans="3:6" x14ac:dyDescent="0.25">
      <c r="C87" s="91"/>
      <c r="D87" s="91"/>
      <c r="E87" s="91"/>
      <c r="F87" s="91"/>
    </row>
    <row r="88" spans="3:6" x14ac:dyDescent="0.25">
      <c r="C88" s="91"/>
      <c r="D88" s="91"/>
      <c r="E88" s="91"/>
      <c r="F88" s="91"/>
    </row>
    <row r="89" spans="3:6" x14ac:dyDescent="0.25">
      <c r="C89" s="91"/>
      <c r="D89" s="91"/>
      <c r="E89" s="91"/>
      <c r="F89" s="91"/>
    </row>
    <row r="90" spans="3:6" x14ac:dyDescent="0.25">
      <c r="C90" s="91"/>
      <c r="D90" s="91"/>
      <c r="E90" s="91"/>
      <c r="F90" s="91"/>
    </row>
    <row r="91" spans="3:6" x14ac:dyDescent="0.25">
      <c r="C91" s="91"/>
      <c r="D91" s="91"/>
      <c r="E91" s="91"/>
      <c r="F91" s="91"/>
    </row>
    <row r="92" spans="3:6" x14ac:dyDescent="0.25">
      <c r="C92" s="91"/>
      <c r="D92" s="91"/>
      <c r="E92" s="91"/>
      <c r="F92" s="91"/>
    </row>
    <row r="93" spans="3:6" x14ac:dyDescent="0.25">
      <c r="C93" s="91"/>
      <c r="D93" s="91"/>
      <c r="E93" s="91"/>
      <c r="F93" s="91"/>
    </row>
    <row r="94" spans="3:6" x14ac:dyDescent="0.25">
      <c r="C94" s="91"/>
      <c r="D94" s="91"/>
      <c r="E94" s="91"/>
      <c r="F94" s="91"/>
    </row>
    <row r="95" spans="3:6" x14ac:dyDescent="0.25">
      <c r="C95" s="91"/>
      <c r="D95" s="91"/>
      <c r="E95" s="91"/>
      <c r="F95" s="91"/>
    </row>
    <row r="96" spans="3:6" x14ac:dyDescent="0.25">
      <c r="C96" s="91"/>
      <c r="D96" s="91"/>
      <c r="E96" s="91"/>
      <c r="F96" s="91"/>
    </row>
    <row r="97" spans="3:6" x14ac:dyDescent="0.25">
      <c r="C97" s="91"/>
      <c r="D97" s="91"/>
      <c r="E97" s="91"/>
      <c r="F97" s="91"/>
    </row>
    <row r="98" spans="3:6" x14ac:dyDescent="0.25">
      <c r="C98" s="91"/>
      <c r="D98" s="91"/>
      <c r="E98" s="91"/>
      <c r="F98" s="91"/>
    </row>
    <row r="99" spans="3:6" x14ac:dyDescent="0.25">
      <c r="C99" s="91"/>
      <c r="D99" s="91"/>
      <c r="E99" s="91"/>
      <c r="F99" s="91"/>
    </row>
    <row r="100" spans="3:6" x14ac:dyDescent="0.25">
      <c r="C100" s="91"/>
      <c r="D100" s="91"/>
      <c r="E100" s="91"/>
      <c r="F100" s="91"/>
    </row>
    <row r="101" spans="3:6" x14ac:dyDescent="0.25">
      <c r="C101" s="91"/>
      <c r="D101" s="91"/>
      <c r="E101" s="91"/>
      <c r="F101" s="91"/>
    </row>
    <row r="102" spans="3:6" x14ac:dyDescent="0.25">
      <c r="C102" s="91"/>
      <c r="D102" s="91"/>
      <c r="E102" s="91"/>
      <c r="F102" s="91"/>
    </row>
    <row r="103" spans="3:6" x14ac:dyDescent="0.25">
      <c r="C103" s="91"/>
      <c r="D103" s="91"/>
      <c r="E103" s="91"/>
      <c r="F103" s="91"/>
    </row>
    <row r="104" spans="3:6" x14ac:dyDescent="0.25">
      <c r="C104" s="91"/>
      <c r="D104" s="91"/>
      <c r="E104" s="91"/>
      <c r="F104" s="91"/>
    </row>
    <row r="105" spans="3:6" x14ac:dyDescent="0.25">
      <c r="C105" s="91"/>
      <c r="D105" s="91"/>
      <c r="E105" s="91"/>
      <c r="F105" s="91"/>
    </row>
    <row r="106" spans="3:6" x14ac:dyDescent="0.25">
      <c r="C106" s="91"/>
      <c r="D106" s="91"/>
      <c r="E106" s="91"/>
      <c r="F106" s="91"/>
    </row>
    <row r="107" spans="3:6" x14ac:dyDescent="0.25">
      <c r="C107" s="91"/>
      <c r="D107" s="91"/>
      <c r="E107" s="91"/>
      <c r="F107" s="91"/>
    </row>
    <row r="108" spans="3:6" x14ac:dyDescent="0.25">
      <c r="C108" s="91"/>
      <c r="D108" s="91"/>
      <c r="E108" s="91"/>
      <c r="F108" s="91"/>
    </row>
    <row r="109" spans="3:6" x14ac:dyDescent="0.25">
      <c r="C109" s="91"/>
      <c r="D109" s="91"/>
      <c r="E109" s="91"/>
      <c r="F109" s="91"/>
    </row>
    <row r="110" spans="3:6" x14ac:dyDescent="0.25">
      <c r="C110" s="91"/>
      <c r="D110" s="91"/>
      <c r="E110" s="91"/>
      <c r="F110" s="91"/>
    </row>
    <row r="111" spans="3:6" x14ac:dyDescent="0.25">
      <c r="C111" s="91"/>
      <c r="D111" s="91"/>
      <c r="E111" s="91"/>
      <c r="F111" s="91"/>
    </row>
    <row r="112" spans="3:6" x14ac:dyDescent="0.25">
      <c r="C112" s="91"/>
      <c r="D112" s="91"/>
      <c r="E112" s="91"/>
      <c r="F112" s="91"/>
    </row>
    <row r="113" spans="3:6" x14ac:dyDescent="0.25">
      <c r="C113" s="91"/>
      <c r="D113" s="91"/>
      <c r="E113" s="91"/>
      <c r="F113" s="91"/>
    </row>
    <row r="114" spans="3:6" x14ac:dyDescent="0.25">
      <c r="C114" s="91"/>
      <c r="D114" s="91"/>
      <c r="E114" s="91"/>
      <c r="F114" s="91"/>
    </row>
    <row r="115" spans="3:6" x14ac:dyDescent="0.25">
      <c r="C115" s="91"/>
      <c r="D115" s="91"/>
      <c r="E115" s="91"/>
      <c r="F115" s="91"/>
    </row>
    <row r="116" spans="3:6" x14ac:dyDescent="0.25">
      <c r="C116" s="91"/>
      <c r="D116" s="91"/>
      <c r="E116" s="91"/>
      <c r="F116" s="91"/>
    </row>
    <row r="117" spans="3:6" x14ac:dyDescent="0.25">
      <c r="C117" s="91"/>
      <c r="D117" s="91"/>
      <c r="E117" s="91"/>
      <c r="F117" s="91"/>
    </row>
    <row r="118" spans="3:6" x14ac:dyDescent="0.25">
      <c r="C118" s="91"/>
      <c r="D118" s="91"/>
      <c r="E118" s="91"/>
      <c r="F118" s="91"/>
    </row>
    <row r="119" spans="3:6" x14ac:dyDescent="0.25">
      <c r="C119" s="91"/>
      <c r="D119" s="91"/>
      <c r="E119" s="91"/>
      <c r="F119" s="91"/>
    </row>
    <row r="120" spans="3:6" x14ac:dyDescent="0.25">
      <c r="C120" s="91"/>
      <c r="D120" s="91"/>
      <c r="E120" s="91"/>
      <c r="F120" s="91"/>
    </row>
    <row r="121" spans="3:6" x14ac:dyDescent="0.25">
      <c r="C121" s="91"/>
      <c r="D121" s="91"/>
      <c r="E121" s="91"/>
      <c r="F121" s="91"/>
    </row>
    <row r="122" spans="3:6" x14ac:dyDescent="0.25">
      <c r="C122" s="91"/>
      <c r="D122" s="91"/>
      <c r="E122" s="91"/>
      <c r="F122" s="91"/>
    </row>
    <row r="123" spans="3:6" x14ac:dyDescent="0.25">
      <c r="C123" s="91"/>
      <c r="D123" s="91"/>
      <c r="E123" s="91"/>
      <c r="F123" s="91"/>
    </row>
    <row r="124" spans="3:6" x14ac:dyDescent="0.25">
      <c r="C124" s="91"/>
      <c r="D124" s="91"/>
      <c r="E124" s="91"/>
      <c r="F124" s="91"/>
    </row>
    <row r="125" spans="3:6" x14ac:dyDescent="0.25">
      <c r="C125" s="91"/>
      <c r="D125" s="91"/>
      <c r="E125" s="91"/>
      <c r="F125" s="91"/>
    </row>
    <row r="126" spans="3:6" x14ac:dyDescent="0.25">
      <c r="C126" s="91"/>
      <c r="D126" s="91"/>
      <c r="E126" s="91"/>
      <c r="F126" s="91"/>
    </row>
    <row r="127" spans="3:6" x14ac:dyDescent="0.25">
      <c r="C127" s="91"/>
      <c r="D127" s="91"/>
      <c r="E127" s="91"/>
      <c r="F127" s="91"/>
    </row>
    <row r="128" spans="3:6" x14ac:dyDescent="0.25">
      <c r="C128" s="91"/>
      <c r="D128" s="91"/>
      <c r="E128" s="91"/>
      <c r="F128" s="91"/>
    </row>
    <row r="129" spans="3:6" x14ac:dyDescent="0.25">
      <c r="C129" s="91"/>
      <c r="D129" s="91"/>
      <c r="E129" s="91"/>
      <c r="F129" s="91"/>
    </row>
    <row r="130" spans="3:6" x14ac:dyDescent="0.25">
      <c r="C130" s="91"/>
      <c r="D130" s="91"/>
      <c r="E130" s="91"/>
      <c r="F130" s="91"/>
    </row>
    <row r="131" spans="3:6" x14ac:dyDescent="0.25">
      <c r="C131" s="91"/>
      <c r="D131" s="91"/>
      <c r="E131" s="91"/>
      <c r="F131" s="91"/>
    </row>
    <row r="132" spans="3:6" x14ac:dyDescent="0.25">
      <c r="C132" s="91"/>
      <c r="D132" s="91"/>
      <c r="E132" s="91"/>
      <c r="F132" s="91"/>
    </row>
    <row r="133" spans="3:6" x14ac:dyDescent="0.25">
      <c r="C133" s="91"/>
      <c r="D133" s="91"/>
      <c r="E133" s="91"/>
      <c r="F133" s="91"/>
    </row>
    <row r="134" spans="3:6" x14ac:dyDescent="0.25">
      <c r="C134" s="91"/>
      <c r="D134" s="91"/>
      <c r="E134" s="91"/>
      <c r="F134" s="91"/>
    </row>
    <row r="135" spans="3:6" x14ac:dyDescent="0.25">
      <c r="C135" s="91"/>
      <c r="D135" s="91"/>
      <c r="E135" s="91"/>
      <c r="F135" s="91"/>
    </row>
    <row r="136" spans="3:6" x14ac:dyDescent="0.25">
      <c r="C136" s="91"/>
      <c r="D136" s="91"/>
      <c r="E136" s="91"/>
      <c r="F136" s="91"/>
    </row>
    <row r="137" spans="3:6" x14ac:dyDescent="0.25">
      <c r="C137" s="91"/>
      <c r="D137" s="91"/>
      <c r="E137" s="91"/>
      <c r="F137" s="91"/>
    </row>
    <row r="138" spans="3:6" x14ac:dyDescent="0.25">
      <c r="C138" s="91"/>
      <c r="D138" s="91"/>
      <c r="E138" s="91"/>
      <c r="F138" s="91"/>
    </row>
    <row r="139" spans="3:6" x14ac:dyDescent="0.25">
      <c r="C139" s="91"/>
      <c r="D139" s="91"/>
      <c r="E139" s="91"/>
      <c r="F139" s="91"/>
    </row>
    <row r="140" spans="3:6" x14ac:dyDescent="0.25">
      <c r="C140" s="91"/>
      <c r="D140" s="91"/>
      <c r="E140" s="91"/>
      <c r="F140" s="91"/>
    </row>
    <row r="141" spans="3:6" x14ac:dyDescent="0.25">
      <c r="C141" s="91"/>
      <c r="D141" s="91"/>
      <c r="E141" s="91"/>
      <c r="F141" s="91"/>
    </row>
    <row r="142" spans="3:6" x14ac:dyDescent="0.25">
      <c r="C142" s="91"/>
      <c r="D142" s="91"/>
      <c r="E142" s="91"/>
      <c r="F142" s="91"/>
    </row>
    <row r="143" spans="3:6" x14ac:dyDescent="0.25">
      <c r="C143" s="91"/>
      <c r="D143" s="91"/>
      <c r="E143" s="91"/>
      <c r="F143" s="91"/>
    </row>
    <row r="144" spans="3:6" x14ac:dyDescent="0.25">
      <c r="C144" s="91"/>
      <c r="D144" s="91"/>
      <c r="E144" s="91"/>
      <c r="F144" s="91"/>
    </row>
    <row r="145" spans="3:6" x14ac:dyDescent="0.25">
      <c r="C145" s="91"/>
      <c r="D145" s="91"/>
      <c r="E145" s="91"/>
      <c r="F145" s="91"/>
    </row>
    <row r="146" spans="3:6" x14ac:dyDescent="0.25">
      <c r="C146" s="91"/>
      <c r="D146" s="91"/>
      <c r="E146" s="91"/>
      <c r="F146" s="91"/>
    </row>
    <row r="147" spans="3:6" x14ac:dyDescent="0.25">
      <c r="C147" s="91"/>
      <c r="D147" s="91"/>
      <c r="E147" s="91"/>
      <c r="F147" s="91"/>
    </row>
    <row r="148" spans="3:6" x14ac:dyDescent="0.25">
      <c r="C148" s="91"/>
      <c r="D148" s="91"/>
      <c r="E148" s="91"/>
      <c r="F148" s="91"/>
    </row>
    <row r="149" spans="3:6" x14ac:dyDescent="0.25">
      <c r="C149" s="91"/>
      <c r="D149" s="91"/>
      <c r="E149" s="91"/>
      <c r="F149" s="91"/>
    </row>
    <row r="150" spans="3:6" x14ac:dyDescent="0.25">
      <c r="C150" s="91"/>
      <c r="D150" s="91"/>
      <c r="E150" s="91"/>
      <c r="F150" s="91"/>
    </row>
    <row r="151" spans="3:6" x14ac:dyDescent="0.25">
      <c r="C151" s="91"/>
      <c r="D151" s="91"/>
      <c r="E151" s="91"/>
      <c r="F151" s="91"/>
    </row>
    <row r="152" spans="3:6" x14ac:dyDescent="0.25">
      <c r="C152" s="91"/>
      <c r="D152" s="91"/>
      <c r="E152" s="91"/>
      <c r="F152" s="91"/>
    </row>
    <row r="153" spans="3:6" x14ac:dyDescent="0.25">
      <c r="C153" s="91"/>
      <c r="D153" s="91"/>
      <c r="E153" s="91"/>
      <c r="F153" s="91"/>
    </row>
    <row r="154" spans="3:6" x14ac:dyDescent="0.25">
      <c r="C154" s="91"/>
      <c r="D154" s="91"/>
      <c r="E154" s="91"/>
      <c r="F154" s="91"/>
    </row>
    <row r="155" spans="3:6" x14ac:dyDescent="0.25">
      <c r="C155" s="91"/>
      <c r="D155" s="91"/>
      <c r="E155" s="91"/>
      <c r="F155" s="91"/>
    </row>
    <row r="156" spans="3:6" x14ac:dyDescent="0.25">
      <c r="C156" s="91"/>
      <c r="D156" s="91"/>
      <c r="E156" s="91"/>
      <c r="F156" s="91"/>
    </row>
    <row r="157" spans="3:6" x14ac:dyDescent="0.25">
      <c r="C157" s="91"/>
      <c r="D157" s="91"/>
      <c r="E157" s="91"/>
      <c r="F157" s="91"/>
    </row>
    <row r="158" spans="3:6" x14ac:dyDescent="0.25">
      <c r="C158" s="91"/>
      <c r="D158" s="91"/>
      <c r="E158" s="91"/>
      <c r="F158" s="91"/>
    </row>
    <row r="159" spans="3:6" x14ac:dyDescent="0.25">
      <c r="C159" s="91"/>
      <c r="D159" s="91"/>
      <c r="E159" s="91"/>
      <c r="F159" s="91"/>
    </row>
    <row r="160" spans="3:6" x14ac:dyDescent="0.25">
      <c r="C160" s="91"/>
      <c r="D160" s="91"/>
      <c r="E160" s="91"/>
      <c r="F160" s="91"/>
    </row>
    <row r="161" spans="3:6" x14ac:dyDescent="0.25">
      <c r="C161" s="91"/>
      <c r="D161" s="91"/>
      <c r="E161" s="91"/>
      <c r="F161" s="91"/>
    </row>
    <row r="162" spans="3:6" x14ac:dyDescent="0.25">
      <c r="C162" s="91"/>
      <c r="D162" s="91"/>
      <c r="E162" s="91"/>
      <c r="F162" s="91"/>
    </row>
    <row r="163" spans="3:6" x14ac:dyDescent="0.25">
      <c r="C163" s="91"/>
      <c r="D163" s="91"/>
      <c r="E163" s="91"/>
      <c r="F163" s="91"/>
    </row>
    <row r="164" spans="3:6" x14ac:dyDescent="0.25">
      <c r="C164" s="91"/>
      <c r="D164" s="91"/>
      <c r="E164" s="91"/>
      <c r="F164" s="91"/>
    </row>
    <row r="165" spans="3:6" x14ac:dyDescent="0.25">
      <c r="C165" s="91"/>
      <c r="D165" s="91"/>
      <c r="E165" s="91"/>
      <c r="F165" s="91"/>
    </row>
    <row r="166" spans="3:6" x14ac:dyDescent="0.25">
      <c r="C166" s="91"/>
      <c r="D166" s="91"/>
      <c r="E166" s="91"/>
      <c r="F166" s="91"/>
    </row>
    <row r="167" spans="3:6" x14ac:dyDescent="0.25">
      <c r="C167" s="91"/>
      <c r="D167" s="91"/>
      <c r="E167" s="91"/>
      <c r="F167" s="91"/>
    </row>
    <row r="168" spans="3:6" x14ac:dyDescent="0.25">
      <c r="C168" s="91"/>
      <c r="D168" s="91"/>
      <c r="E168" s="91"/>
      <c r="F168" s="91"/>
    </row>
    <row r="169" spans="3:6" x14ac:dyDescent="0.25">
      <c r="C169" s="91"/>
      <c r="D169" s="91"/>
      <c r="E169" s="91"/>
      <c r="F169" s="91"/>
    </row>
    <row r="170" spans="3:6" x14ac:dyDescent="0.25">
      <c r="C170" s="91"/>
      <c r="D170" s="91"/>
      <c r="E170" s="91"/>
      <c r="F170" s="91"/>
    </row>
    <row r="171" spans="3:6" x14ac:dyDescent="0.25">
      <c r="C171" s="91"/>
      <c r="D171" s="91"/>
      <c r="E171" s="91"/>
      <c r="F171" s="91"/>
    </row>
    <row r="172" spans="3:6" x14ac:dyDescent="0.25">
      <c r="C172" s="91"/>
      <c r="D172" s="91"/>
      <c r="E172" s="91"/>
      <c r="F172" s="91"/>
    </row>
    <row r="173" spans="3:6" x14ac:dyDescent="0.25">
      <c r="C173" s="91"/>
      <c r="D173" s="91"/>
      <c r="E173" s="91"/>
      <c r="F173" s="91"/>
    </row>
    <row r="174" spans="3:6" x14ac:dyDescent="0.25">
      <c r="C174" s="91"/>
      <c r="D174" s="91"/>
      <c r="E174" s="91"/>
      <c r="F174" s="91"/>
    </row>
    <row r="175" spans="3:6" x14ac:dyDescent="0.25">
      <c r="C175" s="91"/>
      <c r="D175" s="91"/>
      <c r="E175" s="91"/>
      <c r="F175" s="91"/>
    </row>
    <row r="176" spans="3:6" x14ac:dyDescent="0.25">
      <c r="C176" s="91"/>
      <c r="D176" s="91"/>
      <c r="E176" s="91"/>
      <c r="F176" s="91"/>
    </row>
    <row r="177" spans="3:6" x14ac:dyDescent="0.25">
      <c r="C177" s="91"/>
      <c r="D177" s="91"/>
      <c r="E177" s="91"/>
      <c r="F177" s="91"/>
    </row>
    <row r="178" spans="3:6" x14ac:dyDescent="0.25">
      <c r="C178" s="91"/>
      <c r="D178" s="91"/>
      <c r="E178" s="91"/>
      <c r="F178" s="91"/>
    </row>
    <row r="179" spans="3:6" x14ac:dyDescent="0.25">
      <c r="C179" s="91"/>
      <c r="D179" s="91"/>
      <c r="E179" s="91"/>
      <c r="F179" s="91"/>
    </row>
    <row r="180" spans="3:6" x14ac:dyDescent="0.25">
      <c r="C180" s="91"/>
      <c r="D180" s="91"/>
      <c r="E180" s="91"/>
      <c r="F180" s="91"/>
    </row>
    <row r="181" spans="3:6" x14ac:dyDescent="0.25">
      <c r="C181" s="91"/>
      <c r="D181" s="91"/>
      <c r="E181" s="91"/>
      <c r="F181" s="91"/>
    </row>
    <row r="182" spans="3:6" x14ac:dyDescent="0.25">
      <c r="C182" s="91"/>
      <c r="D182" s="91"/>
      <c r="E182" s="91"/>
      <c r="F182" s="91"/>
    </row>
    <row r="183" spans="3:6" x14ac:dyDescent="0.25">
      <c r="C183" s="91"/>
      <c r="D183" s="91"/>
      <c r="E183" s="91"/>
      <c r="F183" s="91"/>
    </row>
    <row r="184" spans="3:6" x14ac:dyDescent="0.25">
      <c r="C184" s="91"/>
      <c r="D184" s="91"/>
      <c r="E184" s="91"/>
      <c r="F184" s="91"/>
    </row>
    <row r="185" spans="3:6" x14ac:dyDescent="0.25">
      <c r="C185" s="91"/>
      <c r="D185" s="91"/>
      <c r="E185" s="91"/>
      <c r="F185" s="91"/>
    </row>
    <row r="186" spans="3:6" x14ac:dyDescent="0.25">
      <c r="C186" s="91"/>
      <c r="D186" s="91"/>
      <c r="E186" s="91"/>
      <c r="F186" s="91"/>
    </row>
    <row r="187" spans="3:6" x14ac:dyDescent="0.25">
      <c r="C187" s="91"/>
      <c r="D187" s="91"/>
      <c r="E187" s="91"/>
      <c r="F187" s="91"/>
    </row>
    <row r="188" spans="3:6" x14ac:dyDescent="0.25">
      <c r="C188" s="91"/>
      <c r="D188" s="91"/>
      <c r="E188" s="91"/>
      <c r="F188" s="91"/>
    </row>
    <row r="189" spans="3:6" x14ac:dyDescent="0.25">
      <c r="C189" s="91"/>
      <c r="D189" s="91"/>
      <c r="E189" s="91"/>
      <c r="F189" s="91"/>
    </row>
    <row r="190" spans="3:6" x14ac:dyDescent="0.25">
      <c r="C190" s="91"/>
      <c r="D190" s="91"/>
      <c r="E190" s="91"/>
      <c r="F190" s="91"/>
    </row>
    <row r="191" spans="3:6" x14ac:dyDescent="0.25">
      <c r="C191" s="91"/>
      <c r="D191" s="91"/>
      <c r="E191" s="91"/>
      <c r="F191" s="91"/>
    </row>
    <row r="192" spans="3:6" x14ac:dyDescent="0.25">
      <c r="C192" s="91"/>
      <c r="D192" s="91"/>
      <c r="E192" s="91"/>
      <c r="F192" s="91"/>
    </row>
    <row r="193" spans="3:6" x14ac:dyDescent="0.25">
      <c r="C193" s="91"/>
      <c r="D193" s="91"/>
      <c r="E193" s="91"/>
      <c r="F193" s="91"/>
    </row>
    <row r="194" spans="3:6" x14ac:dyDescent="0.25">
      <c r="C194" s="91"/>
      <c r="D194" s="91"/>
      <c r="E194" s="91"/>
      <c r="F194" s="91"/>
    </row>
    <row r="195" spans="3:6" x14ac:dyDescent="0.25">
      <c r="C195" s="91"/>
      <c r="D195" s="91"/>
      <c r="E195" s="91"/>
      <c r="F195" s="91"/>
    </row>
    <row r="196" spans="3:6" x14ac:dyDescent="0.25">
      <c r="C196" s="91"/>
      <c r="D196" s="91"/>
      <c r="E196" s="91"/>
      <c r="F196" s="91"/>
    </row>
    <row r="197" spans="3:6" x14ac:dyDescent="0.25">
      <c r="C197" s="91"/>
      <c r="D197" s="91"/>
      <c r="E197" s="91"/>
      <c r="F197" s="91"/>
    </row>
    <row r="198" spans="3:6" x14ac:dyDescent="0.25">
      <c r="C198" s="91"/>
      <c r="D198" s="91"/>
      <c r="E198" s="91"/>
      <c r="F198" s="91"/>
    </row>
    <row r="199" spans="3:6" x14ac:dyDescent="0.25">
      <c r="C199" s="91"/>
      <c r="D199" s="91"/>
      <c r="E199" s="91"/>
      <c r="F199" s="91"/>
    </row>
    <row r="200" spans="3:6" x14ac:dyDescent="0.25">
      <c r="C200" s="91"/>
      <c r="D200" s="91"/>
      <c r="E200" s="91"/>
      <c r="F200" s="91"/>
    </row>
    <row r="201" spans="3:6" x14ac:dyDescent="0.25">
      <c r="C201" s="91"/>
      <c r="D201" s="91"/>
      <c r="E201" s="91"/>
      <c r="F201" s="91"/>
    </row>
    <row r="202" spans="3:6" x14ac:dyDescent="0.25">
      <c r="C202" s="91"/>
      <c r="D202" s="91"/>
      <c r="E202" s="91"/>
      <c r="F202" s="91"/>
    </row>
    <row r="203" spans="3:6" x14ac:dyDescent="0.25">
      <c r="C203" s="91"/>
      <c r="D203" s="91"/>
      <c r="E203" s="91"/>
      <c r="F203" s="91"/>
    </row>
    <row r="204" spans="3:6" x14ac:dyDescent="0.25">
      <c r="C204" s="91"/>
      <c r="D204" s="91"/>
      <c r="E204" s="91"/>
      <c r="F204" s="91"/>
    </row>
    <row r="205" spans="3:6" x14ac:dyDescent="0.25">
      <c r="C205" s="91"/>
      <c r="D205" s="91"/>
      <c r="E205" s="91"/>
      <c r="F205" s="91"/>
    </row>
    <row r="206" spans="3:6" x14ac:dyDescent="0.25">
      <c r="C206" s="91"/>
      <c r="D206" s="91"/>
      <c r="E206" s="91"/>
      <c r="F206" s="91"/>
    </row>
    <row r="207" spans="3:6" x14ac:dyDescent="0.25">
      <c r="C207" s="91"/>
      <c r="D207" s="91"/>
      <c r="E207" s="91"/>
      <c r="F207" s="91"/>
    </row>
    <row r="208" spans="3:6" x14ac:dyDescent="0.25">
      <c r="C208" s="91"/>
      <c r="D208" s="91"/>
      <c r="E208" s="91"/>
      <c r="F208" s="91"/>
    </row>
    <row r="209" spans="3:6" x14ac:dyDescent="0.25">
      <c r="C209" s="91"/>
      <c r="D209" s="91"/>
      <c r="E209" s="91"/>
      <c r="F209" s="91"/>
    </row>
    <row r="210" spans="3:6" x14ac:dyDescent="0.25">
      <c r="C210" s="91"/>
      <c r="D210" s="91"/>
      <c r="E210" s="91"/>
      <c r="F210" s="91"/>
    </row>
    <row r="211" spans="3:6" x14ac:dyDescent="0.25">
      <c r="C211" s="91"/>
      <c r="D211" s="91"/>
      <c r="E211" s="91"/>
      <c r="F211" s="91"/>
    </row>
    <row r="212" spans="3:6" x14ac:dyDescent="0.25">
      <c r="C212" s="91"/>
      <c r="D212" s="91"/>
      <c r="E212" s="91"/>
      <c r="F212" s="91"/>
    </row>
    <row r="213" spans="3:6" x14ac:dyDescent="0.25">
      <c r="C213" s="91"/>
      <c r="D213" s="91"/>
      <c r="E213" s="91"/>
      <c r="F213" s="91"/>
    </row>
    <row r="214" spans="3:6" x14ac:dyDescent="0.25">
      <c r="C214" s="91"/>
      <c r="D214" s="91"/>
      <c r="E214" s="91"/>
      <c r="F214" s="91"/>
    </row>
    <row r="215" spans="3:6" x14ac:dyDescent="0.25">
      <c r="C215" s="91"/>
      <c r="D215" s="91"/>
      <c r="E215" s="91"/>
      <c r="F215" s="91"/>
    </row>
    <row r="216" spans="3:6" x14ac:dyDescent="0.25">
      <c r="C216" s="91"/>
      <c r="D216" s="91"/>
      <c r="E216" s="91"/>
      <c r="F216" s="91"/>
    </row>
    <row r="217" spans="3:6" x14ac:dyDescent="0.25">
      <c r="C217" s="91"/>
      <c r="D217" s="91"/>
      <c r="E217" s="91"/>
      <c r="F217" s="91"/>
    </row>
    <row r="218" spans="3:6" x14ac:dyDescent="0.25">
      <c r="C218" s="91"/>
      <c r="D218" s="91"/>
      <c r="E218" s="91"/>
      <c r="F218" s="91"/>
    </row>
    <row r="219" spans="3:6" x14ac:dyDescent="0.25">
      <c r="C219" s="91"/>
      <c r="D219" s="91"/>
      <c r="E219" s="91"/>
      <c r="F219" s="91"/>
    </row>
    <row r="220" spans="3:6" x14ac:dyDescent="0.25">
      <c r="C220" s="91"/>
      <c r="D220" s="91"/>
      <c r="E220" s="91"/>
      <c r="F220" s="91"/>
    </row>
    <row r="221" spans="3:6" x14ac:dyDescent="0.25">
      <c r="C221" s="91"/>
      <c r="D221" s="91"/>
      <c r="E221" s="91"/>
      <c r="F221" s="91"/>
    </row>
    <row r="222" spans="3:6" x14ac:dyDescent="0.25">
      <c r="C222" s="91"/>
      <c r="D222" s="91"/>
      <c r="E222" s="91"/>
      <c r="F222" s="91"/>
    </row>
    <row r="223" spans="3:6" x14ac:dyDescent="0.25">
      <c r="C223" s="91"/>
      <c r="D223" s="91"/>
      <c r="E223" s="91"/>
      <c r="F223" s="91"/>
    </row>
    <row r="224" spans="3:6" x14ac:dyDescent="0.25">
      <c r="C224" s="91"/>
      <c r="D224" s="91"/>
      <c r="E224" s="91"/>
      <c r="F224" s="91"/>
    </row>
    <row r="225" spans="3:6" x14ac:dyDescent="0.25">
      <c r="C225" s="91"/>
      <c r="D225" s="91"/>
      <c r="E225" s="91"/>
      <c r="F225" s="91"/>
    </row>
    <row r="226" spans="3:6" x14ac:dyDescent="0.25">
      <c r="C226" s="91"/>
      <c r="D226" s="91"/>
      <c r="E226" s="91"/>
      <c r="F226" s="91"/>
    </row>
    <row r="227" spans="3:6" x14ac:dyDescent="0.25">
      <c r="C227" s="91"/>
      <c r="D227" s="91"/>
      <c r="E227" s="91"/>
      <c r="F227" s="91"/>
    </row>
    <row r="228" spans="3:6" x14ac:dyDescent="0.25">
      <c r="C228" s="91"/>
      <c r="D228" s="91"/>
      <c r="E228" s="91"/>
      <c r="F228" s="91"/>
    </row>
    <row r="229" spans="3:6" x14ac:dyDescent="0.25">
      <c r="C229" s="91"/>
      <c r="D229" s="91"/>
      <c r="E229" s="91"/>
      <c r="F229" s="91"/>
    </row>
    <row r="230" spans="3:6" x14ac:dyDescent="0.25">
      <c r="C230" s="91"/>
      <c r="D230" s="91"/>
      <c r="E230" s="91"/>
      <c r="F230" s="91"/>
    </row>
    <row r="231" spans="3:6" x14ac:dyDescent="0.25">
      <c r="C231" s="91"/>
      <c r="D231" s="91"/>
      <c r="E231" s="91"/>
      <c r="F231" s="91"/>
    </row>
    <row r="232" spans="3:6" x14ac:dyDescent="0.25">
      <c r="C232" s="91"/>
      <c r="D232" s="91"/>
      <c r="E232" s="91"/>
      <c r="F232" s="91"/>
    </row>
    <row r="233" spans="3:6" x14ac:dyDescent="0.25">
      <c r="C233" s="91"/>
      <c r="D233" s="91"/>
      <c r="E233" s="91"/>
      <c r="F233" s="91"/>
    </row>
    <row r="234" spans="3:6" x14ac:dyDescent="0.25">
      <c r="C234" s="91"/>
      <c r="D234" s="91"/>
      <c r="E234" s="91"/>
      <c r="F234" s="91"/>
    </row>
    <row r="235" spans="3:6" x14ac:dyDescent="0.25">
      <c r="C235" s="91"/>
      <c r="D235" s="91"/>
      <c r="E235" s="91"/>
      <c r="F235" s="91"/>
    </row>
    <row r="236" spans="3:6" x14ac:dyDescent="0.25">
      <c r="C236" s="91"/>
      <c r="D236" s="91"/>
      <c r="E236" s="91"/>
      <c r="F236" s="91"/>
    </row>
    <row r="237" spans="3:6" x14ac:dyDescent="0.25">
      <c r="C237" s="91"/>
      <c r="D237" s="91"/>
      <c r="E237" s="91"/>
      <c r="F237" s="91"/>
    </row>
    <row r="238" spans="3:6" x14ac:dyDescent="0.25">
      <c r="C238" s="91"/>
      <c r="D238" s="91"/>
      <c r="E238" s="91"/>
      <c r="F238" s="91"/>
    </row>
    <row r="239" spans="3:6" x14ac:dyDescent="0.25">
      <c r="C239" s="91"/>
      <c r="D239" s="91"/>
      <c r="E239" s="91"/>
      <c r="F239" s="91"/>
    </row>
    <row r="240" spans="3:6" x14ac:dyDescent="0.25">
      <c r="C240" s="91"/>
      <c r="D240" s="91"/>
      <c r="E240" s="91"/>
      <c r="F240" s="91"/>
    </row>
    <row r="241" spans="3:6" x14ac:dyDescent="0.25">
      <c r="C241" s="91"/>
      <c r="D241" s="91"/>
      <c r="E241" s="91"/>
      <c r="F241" s="91"/>
    </row>
    <row r="242" spans="3:6" x14ac:dyDescent="0.25">
      <c r="C242" s="91"/>
      <c r="D242" s="91"/>
      <c r="E242" s="91"/>
      <c r="F242" s="91"/>
    </row>
    <row r="243" spans="3:6" x14ac:dyDescent="0.25">
      <c r="C243" s="91"/>
      <c r="D243" s="91"/>
      <c r="E243" s="91"/>
      <c r="F243" s="91"/>
    </row>
    <row r="244" spans="3:6" x14ac:dyDescent="0.25">
      <c r="C244" s="91"/>
      <c r="D244" s="91"/>
      <c r="E244" s="91"/>
      <c r="F244" s="91"/>
    </row>
    <row r="245" spans="3:6" x14ac:dyDescent="0.25">
      <c r="C245" s="91"/>
      <c r="D245" s="91"/>
      <c r="E245" s="91"/>
      <c r="F245" s="91"/>
    </row>
    <row r="246" spans="3:6" x14ac:dyDescent="0.25">
      <c r="C246" s="91"/>
      <c r="D246" s="91"/>
      <c r="E246" s="91"/>
      <c r="F246" s="91"/>
    </row>
    <row r="247" spans="3:6" x14ac:dyDescent="0.25">
      <c r="C247" s="91"/>
      <c r="D247" s="91"/>
      <c r="E247" s="91"/>
      <c r="F247" s="91"/>
    </row>
    <row r="248" spans="3:6" x14ac:dyDescent="0.25">
      <c r="C248" s="91"/>
      <c r="D248" s="91"/>
      <c r="E248" s="91"/>
      <c r="F248" s="91"/>
    </row>
    <row r="249" spans="3:6" x14ac:dyDescent="0.25">
      <c r="C249" s="91"/>
      <c r="D249" s="91"/>
      <c r="E249" s="91"/>
      <c r="F249" s="91"/>
    </row>
    <row r="250" spans="3:6" x14ac:dyDescent="0.25">
      <c r="C250" s="91"/>
      <c r="D250" s="91"/>
      <c r="E250" s="91"/>
      <c r="F250" s="91"/>
    </row>
    <row r="251" spans="3:6" x14ac:dyDescent="0.25">
      <c r="C251" s="91"/>
      <c r="D251" s="91"/>
      <c r="E251" s="91"/>
      <c r="F251" s="91"/>
    </row>
    <row r="252" spans="3:6" x14ac:dyDescent="0.25">
      <c r="C252" s="91"/>
      <c r="D252" s="91"/>
      <c r="E252" s="91"/>
      <c r="F252" s="91"/>
    </row>
    <row r="253" spans="3:6" x14ac:dyDescent="0.25">
      <c r="C253" s="91"/>
      <c r="D253" s="91"/>
      <c r="E253" s="91"/>
      <c r="F253" s="91"/>
    </row>
    <row r="254" spans="3:6" x14ac:dyDescent="0.25">
      <c r="C254" s="91"/>
      <c r="D254" s="91"/>
      <c r="E254" s="91"/>
      <c r="F254" s="91"/>
    </row>
    <row r="255" spans="3:6" x14ac:dyDescent="0.25">
      <c r="C255" s="91"/>
      <c r="D255" s="91"/>
      <c r="E255" s="91"/>
      <c r="F255" s="91"/>
    </row>
    <row r="256" spans="3:6" x14ac:dyDescent="0.25">
      <c r="C256" s="91"/>
      <c r="D256" s="91"/>
      <c r="E256" s="91"/>
      <c r="F256" s="91"/>
    </row>
    <row r="257" spans="3:6" x14ac:dyDescent="0.25">
      <c r="C257" s="91"/>
      <c r="D257" s="91"/>
      <c r="E257" s="91"/>
      <c r="F257" s="91"/>
    </row>
    <row r="258" spans="3:6" x14ac:dyDescent="0.25">
      <c r="C258" s="91"/>
      <c r="D258" s="91"/>
      <c r="E258" s="91"/>
      <c r="F258" s="91"/>
    </row>
    <row r="259" spans="3:6" x14ac:dyDescent="0.25">
      <c r="C259" s="91"/>
      <c r="D259" s="91"/>
      <c r="E259" s="91"/>
      <c r="F259" s="91"/>
    </row>
    <row r="260" spans="3:6" x14ac:dyDescent="0.25">
      <c r="C260" s="91"/>
      <c r="D260" s="91"/>
      <c r="E260" s="91"/>
      <c r="F260" s="91"/>
    </row>
    <row r="261" spans="3:6" x14ac:dyDescent="0.25">
      <c r="C261" s="91"/>
      <c r="D261" s="91"/>
      <c r="E261" s="91"/>
      <c r="F261" s="91"/>
    </row>
    <row r="262" spans="3:6" x14ac:dyDescent="0.25">
      <c r="C262" s="91"/>
      <c r="D262" s="91"/>
      <c r="E262" s="91"/>
      <c r="F262" s="91"/>
    </row>
    <row r="263" spans="3:6" x14ac:dyDescent="0.25">
      <c r="C263" s="91"/>
      <c r="D263" s="91"/>
      <c r="E263" s="91"/>
      <c r="F263" s="91"/>
    </row>
    <row r="264" spans="3:6" x14ac:dyDescent="0.25">
      <c r="C264" s="91"/>
      <c r="D264" s="91"/>
      <c r="E264" s="91"/>
      <c r="F264" s="91"/>
    </row>
    <row r="265" spans="3:6" x14ac:dyDescent="0.25">
      <c r="C265" s="91"/>
      <c r="D265" s="91"/>
      <c r="E265" s="91"/>
      <c r="F265" s="91"/>
    </row>
    <row r="266" spans="3:6" x14ac:dyDescent="0.25">
      <c r="C266" s="91"/>
      <c r="D266" s="91"/>
      <c r="E266" s="91"/>
      <c r="F266" s="91"/>
    </row>
    <row r="267" spans="3:6" x14ac:dyDescent="0.25">
      <c r="C267" s="91"/>
      <c r="D267" s="91"/>
      <c r="E267" s="91"/>
      <c r="F267" s="91"/>
    </row>
    <row r="268" spans="3:6" x14ac:dyDescent="0.25">
      <c r="C268" s="91"/>
      <c r="D268" s="91"/>
      <c r="E268" s="91"/>
      <c r="F268" s="91"/>
    </row>
    <row r="269" spans="3:6" x14ac:dyDescent="0.25">
      <c r="C269" s="91"/>
      <c r="D269" s="91"/>
      <c r="E269" s="91"/>
      <c r="F269" s="91"/>
    </row>
    <row r="270" spans="3:6" x14ac:dyDescent="0.25">
      <c r="C270" s="91"/>
      <c r="D270" s="91"/>
      <c r="E270" s="91"/>
      <c r="F270" s="91"/>
    </row>
    <row r="271" spans="3:6" x14ac:dyDescent="0.25">
      <c r="C271" s="91"/>
      <c r="D271" s="91"/>
      <c r="E271" s="91"/>
      <c r="F271" s="91"/>
    </row>
    <row r="272" spans="3:6" x14ac:dyDescent="0.25">
      <c r="C272" s="91"/>
      <c r="D272" s="91"/>
      <c r="E272" s="91"/>
      <c r="F272" s="91"/>
    </row>
    <row r="273" spans="3:6" x14ac:dyDescent="0.25">
      <c r="C273" s="91"/>
      <c r="D273" s="91"/>
      <c r="E273" s="91"/>
      <c r="F273" s="91"/>
    </row>
    <row r="274" spans="3:6" x14ac:dyDescent="0.25">
      <c r="C274" s="91"/>
      <c r="D274" s="91"/>
      <c r="E274" s="91"/>
      <c r="F274" s="91"/>
    </row>
    <row r="275" spans="3:6" x14ac:dyDescent="0.25">
      <c r="C275" s="91"/>
      <c r="D275" s="91"/>
      <c r="E275" s="91"/>
      <c r="F275" s="91"/>
    </row>
    <row r="276" spans="3:6" x14ac:dyDescent="0.25">
      <c r="C276" s="91"/>
      <c r="D276" s="91"/>
      <c r="E276" s="91"/>
      <c r="F276" s="91"/>
    </row>
    <row r="277" spans="3:6" x14ac:dyDescent="0.25">
      <c r="C277" s="91"/>
      <c r="D277" s="91"/>
      <c r="E277" s="91"/>
      <c r="F277" s="91"/>
    </row>
    <row r="278" spans="3:6" x14ac:dyDescent="0.25">
      <c r="C278" s="91"/>
      <c r="D278" s="91"/>
      <c r="E278" s="91"/>
      <c r="F278" s="91"/>
    </row>
  </sheetData>
  <printOptions gridLines="1"/>
  <pageMargins left="0.35" right="0.35" top="0.75" bottom="0.75" header="0.25" footer="0.25"/>
  <pageSetup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4"/>
  <sheetViews>
    <sheetView showGridLines="0" workbookViewId="0">
      <selection activeCell="J42" sqref="J42"/>
    </sheetView>
  </sheetViews>
  <sheetFormatPr baseColWidth="10" defaultColWidth="9.140625" defaultRowHeight="12.75" x14ac:dyDescent="0.2"/>
  <cols>
    <col min="1" max="1" width="1.7109375" style="152" customWidth="1"/>
    <col min="2" max="2" width="30.140625" style="152" customWidth="1"/>
    <col min="3" max="3" width="16.5703125" style="152" customWidth="1"/>
    <col min="4" max="4" width="13.42578125" style="152" customWidth="1"/>
    <col min="5" max="5" width="12.5703125" style="152" customWidth="1"/>
    <col min="6" max="6" width="2.85546875" style="152" customWidth="1"/>
    <col min="7" max="7" width="29.28515625" style="152" customWidth="1"/>
    <col min="8" max="8" width="16.5703125" style="152" customWidth="1"/>
    <col min="9" max="9" width="13.42578125" style="152" customWidth="1"/>
    <col min="10" max="10" width="12.5703125" style="152" customWidth="1"/>
    <col min="11" max="16384" width="9.140625" style="152"/>
  </cols>
  <sheetData>
    <row r="1" spans="1:10" ht="8.1" customHeight="1" x14ac:dyDescent="0.6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51.95" customHeight="1" x14ac:dyDescent="0.2">
      <c r="A2" s="149"/>
      <c r="B2" s="206" t="s">
        <v>214</v>
      </c>
      <c r="C2" s="206"/>
      <c r="D2" s="206"/>
      <c r="E2" s="206"/>
      <c r="F2" s="206"/>
      <c r="G2" s="206"/>
      <c r="H2" s="206"/>
      <c r="I2" s="206"/>
      <c r="J2" s="206"/>
    </row>
    <row r="3" spans="1:10" ht="8.1" customHeight="1" x14ac:dyDescent="0.2">
      <c r="A3" s="151"/>
      <c r="B3" s="217"/>
      <c r="C3" s="217"/>
      <c r="D3" s="217"/>
      <c r="E3" s="153"/>
      <c r="F3" s="154"/>
      <c r="G3" s="153"/>
      <c r="H3" s="155"/>
      <c r="I3" s="156"/>
      <c r="J3" s="157"/>
    </row>
    <row r="4" spans="1:10" ht="15.95" customHeight="1" x14ac:dyDescent="0.2">
      <c r="A4" s="151"/>
      <c r="B4" s="213" t="s">
        <v>213</v>
      </c>
      <c r="C4" s="211" t="s">
        <v>209</v>
      </c>
      <c r="D4" s="212"/>
      <c r="E4" s="158">
        <v>10000</v>
      </c>
      <c r="F4" s="154"/>
      <c r="G4" s="207" t="s">
        <v>212</v>
      </c>
      <c r="H4" s="207"/>
      <c r="I4" s="207"/>
      <c r="J4" s="208">
        <f>E6-J58</f>
        <v>5510</v>
      </c>
    </row>
    <row r="5" spans="1:10" ht="15.95" customHeight="1" x14ac:dyDescent="0.2">
      <c r="A5" s="151"/>
      <c r="B5" s="214"/>
      <c r="C5" s="211" t="s">
        <v>208</v>
      </c>
      <c r="D5" s="212"/>
      <c r="E5" s="158">
        <v>0</v>
      </c>
      <c r="F5" s="154"/>
      <c r="G5" s="207"/>
      <c r="H5" s="207"/>
      <c r="I5" s="207"/>
      <c r="J5" s="208"/>
    </row>
    <row r="6" spans="1:10" ht="15.95" customHeight="1" x14ac:dyDescent="0.2">
      <c r="A6" s="151"/>
      <c r="B6" s="215"/>
      <c r="C6" s="209" t="s">
        <v>206</v>
      </c>
      <c r="D6" s="210"/>
      <c r="E6" s="159">
        <f>SUM(E4:E5)</f>
        <v>10000</v>
      </c>
      <c r="F6" s="154"/>
      <c r="G6" s="207" t="s">
        <v>211</v>
      </c>
      <c r="H6" s="207"/>
      <c r="I6" s="207"/>
      <c r="J6" s="208">
        <f>E9-J60</f>
        <v>-1325</v>
      </c>
    </row>
    <row r="7" spans="1:10" ht="15.95" customHeight="1" x14ac:dyDescent="0.2">
      <c r="A7" s="151"/>
      <c r="B7" s="213" t="s">
        <v>210</v>
      </c>
      <c r="C7" s="211" t="s">
        <v>209</v>
      </c>
      <c r="D7" s="212"/>
      <c r="E7" s="158">
        <v>2500</v>
      </c>
      <c r="F7" s="154"/>
      <c r="G7" s="207"/>
      <c r="H7" s="207"/>
      <c r="I7" s="207"/>
      <c r="J7" s="208"/>
    </row>
    <row r="8" spans="1:10" ht="15.95" customHeight="1" x14ac:dyDescent="0.2">
      <c r="A8" s="151"/>
      <c r="B8" s="214"/>
      <c r="C8" s="211" t="s">
        <v>208</v>
      </c>
      <c r="D8" s="212"/>
      <c r="E8" s="158">
        <v>0</v>
      </c>
      <c r="F8" s="154"/>
      <c r="G8" s="207" t="s">
        <v>207</v>
      </c>
      <c r="H8" s="207"/>
      <c r="I8" s="207"/>
      <c r="J8" s="208">
        <f>J6-J4</f>
        <v>-6835</v>
      </c>
    </row>
    <row r="9" spans="1:10" ht="15.95" customHeight="1" x14ac:dyDescent="0.2">
      <c r="A9" s="151"/>
      <c r="B9" s="215"/>
      <c r="C9" s="209" t="s">
        <v>206</v>
      </c>
      <c r="D9" s="210"/>
      <c r="E9" s="159">
        <f>SUM(E7:E8)</f>
        <v>2500</v>
      </c>
      <c r="F9" s="154"/>
      <c r="G9" s="207"/>
      <c r="H9" s="207"/>
      <c r="I9" s="207"/>
      <c r="J9" s="208"/>
    </row>
    <row r="10" spans="1:10" ht="15.95" customHeight="1" x14ac:dyDescent="0.2">
      <c r="A10" s="151"/>
      <c r="B10" s="160"/>
      <c r="C10" s="160"/>
      <c r="D10" s="161"/>
      <c r="E10" s="162"/>
      <c r="F10" s="154"/>
      <c r="G10" s="163"/>
      <c r="H10" s="163"/>
      <c r="I10" s="163"/>
      <c r="J10" s="164"/>
    </row>
    <row r="11" spans="1:10" ht="15.95" customHeight="1" x14ac:dyDescent="0.2">
      <c r="A11" s="151"/>
      <c r="B11" s="165" t="s">
        <v>205</v>
      </c>
      <c r="C11" s="166" t="s">
        <v>152</v>
      </c>
      <c r="D11" s="166" t="s">
        <v>151</v>
      </c>
      <c r="E11" s="167" t="s">
        <v>150</v>
      </c>
      <c r="F11" s="168"/>
      <c r="G11" s="165" t="s">
        <v>204</v>
      </c>
      <c r="H11" s="166" t="s">
        <v>152</v>
      </c>
      <c r="I11" s="166" t="s">
        <v>151</v>
      </c>
      <c r="J11" s="167" t="s">
        <v>150</v>
      </c>
    </row>
    <row r="12" spans="1:10" ht="15.75" customHeight="1" x14ac:dyDescent="0.2">
      <c r="A12" s="151"/>
      <c r="B12" s="169" t="s">
        <v>203</v>
      </c>
      <c r="C12" s="166">
        <v>2500</v>
      </c>
      <c r="D12" s="166">
        <v>2500</v>
      </c>
      <c r="E12" s="170">
        <f>Tabla14[Costo previsto]-Tabla14[Costo real]</f>
        <v>0</v>
      </c>
      <c r="F12" s="171"/>
      <c r="G12" s="169" t="s">
        <v>202</v>
      </c>
      <c r="H12" s="166">
        <v>0</v>
      </c>
      <c r="I12" s="166">
        <v>0</v>
      </c>
      <c r="J12" s="170">
        <f>Tabla2[Costo previsto]-Tabla2[Costo real]</f>
        <v>0</v>
      </c>
    </row>
    <row r="13" spans="1:10" ht="15.75" customHeight="1" x14ac:dyDescent="0.2">
      <c r="A13" s="151"/>
      <c r="B13" s="169" t="s">
        <v>52</v>
      </c>
      <c r="C13" s="166">
        <v>200</v>
      </c>
      <c r="D13" s="166">
        <v>100</v>
      </c>
      <c r="E13" s="170">
        <f>Tabla14[Costo previsto]-Tabla14[Costo real]</f>
        <v>100</v>
      </c>
      <c r="F13" s="171"/>
      <c r="G13" s="169" t="s">
        <v>201</v>
      </c>
      <c r="H13" s="166"/>
      <c r="I13" s="166"/>
      <c r="J13" s="170">
        <f>Tabla2[Costo previsto]-Tabla2[Costo real]</f>
        <v>0</v>
      </c>
    </row>
    <row r="14" spans="1:10" ht="15.75" customHeight="1" x14ac:dyDescent="0.2">
      <c r="A14" s="151"/>
      <c r="B14" s="169" t="s">
        <v>200</v>
      </c>
      <c r="C14" s="166">
        <v>50</v>
      </c>
      <c r="D14" s="166">
        <v>80</v>
      </c>
      <c r="E14" s="170">
        <f>Tabla14[Costo previsto]-Tabla14[Costo real]</f>
        <v>-30</v>
      </c>
      <c r="F14" s="171"/>
      <c r="G14" s="169" t="s">
        <v>199</v>
      </c>
      <c r="H14" s="166"/>
      <c r="I14" s="166"/>
      <c r="J14" s="170">
        <f>Tabla2[Costo previsto]-Tabla2[Costo real]</f>
        <v>0</v>
      </c>
    </row>
    <row r="15" spans="1:10" ht="15.75" customHeight="1" x14ac:dyDescent="0.2">
      <c r="A15" s="151"/>
      <c r="B15" s="169" t="s">
        <v>198</v>
      </c>
      <c r="C15" s="166">
        <v>200</v>
      </c>
      <c r="D15" s="166">
        <v>60</v>
      </c>
      <c r="E15" s="170">
        <f>Tabla14[Costo previsto]-Tabla14[Costo real]</f>
        <v>140</v>
      </c>
      <c r="F15" s="171"/>
      <c r="G15" s="169" t="s">
        <v>197</v>
      </c>
      <c r="H15" s="166"/>
      <c r="I15" s="166"/>
      <c r="J15" s="170">
        <f>Tabla2[Costo previsto]-Tabla2[Costo real]</f>
        <v>0</v>
      </c>
    </row>
    <row r="16" spans="1:10" ht="15.75" customHeight="1" x14ac:dyDescent="0.2">
      <c r="A16" s="151"/>
      <c r="B16" s="169" t="s">
        <v>196</v>
      </c>
      <c r="C16" s="166">
        <v>140</v>
      </c>
      <c r="D16" s="166">
        <v>35</v>
      </c>
      <c r="E16" s="170">
        <f>Tabla14[Costo previsto]-Tabla14[Costo real]</f>
        <v>105</v>
      </c>
      <c r="F16" s="171"/>
      <c r="G16" s="169" t="s">
        <v>195</v>
      </c>
      <c r="H16" s="166"/>
      <c r="I16" s="166"/>
      <c r="J16" s="170">
        <f>Tabla2[Costo previsto]-Tabla2[Costo real]</f>
        <v>0</v>
      </c>
    </row>
    <row r="17" spans="1:10" ht="15.75" customHeight="1" x14ac:dyDescent="0.2">
      <c r="A17" s="151"/>
      <c r="B17" s="169" t="s">
        <v>194</v>
      </c>
      <c r="C17" s="166"/>
      <c r="D17" s="166"/>
      <c r="E17" s="170">
        <f>Tabla14[Costo previsto]-Tabla14[Costo real]</f>
        <v>0</v>
      </c>
      <c r="F17" s="171"/>
      <c r="G17" s="169" t="s">
        <v>193</v>
      </c>
      <c r="H17" s="166"/>
      <c r="I17" s="166"/>
      <c r="J17" s="170">
        <f>Tabla2[Costo previsto]-Tabla2[Costo real]</f>
        <v>0</v>
      </c>
    </row>
    <row r="18" spans="1:10" ht="15.75" customHeight="1" x14ac:dyDescent="0.2">
      <c r="A18" s="151"/>
      <c r="B18" s="169" t="s">
        <v>192</v>
      </c>
      <c r="C18" s="166"/>
      <c r="D18" s="166"/>
      <c r="E18" s="170">
        <f>Tabla14[Costo previsto]-Tabla14[Costo real]</f>
        <v>0</v>
      </c>
      <c r="F18" s="171"/>
      <c r="G18" s="169" t="s">
        <v>141</v>
      </c>
      <c r="H18" s="166"/>
      <c r="I18" s="166"/>
      <c r="J18" s="170">
        <f>Tabla2[Costo previsto]-Tabla2[Costo real]</f>
        <v>0</v>
      </c>
    </row>
    <row r="19" spans="1:10" ht="15.75" customHeight="1" x14ac:dyDescent="0.2">
      <c r="A19" s="151"/>
      <c r="B19" s="169" t="s">
        <v>191</v>
      </c>
      <c r="C19" s="166"/>
      <c r="D19" s="166"/>
      <c r="E19" s="170">
        <f>Tabla14[Costo previsto]-Tabla14[Costo real]</f>
        <v>0</v>
      </c>
      <c r="F19" s="171"/>
      <c r="G19" s="169" t="s">
        <v>141</v>
      </c>
      <c r="H19" s="166"/>
      <c r="I19" s="166"/>
      <c r="J19" s="170">
        <f>Tabla2[Costo previsto]-Tabla2[Costo real]</f>
        <v>0</v>
      </c>
    </row>
    <row r="20" spans="1:10" ht="15.75" customHeight="1" x14ac:dyDescent="0.2">
      <c r="A20" s="151"/>
      <c r="B20" s="169" t="s">
        <v>190</v>
      </c>
      <c r="C20" s="166"/>
      <c r="D20" s="166"/>
      <c r="E20" s="170">
        <f>Tabla14[Costo previsto]-Tabla14[Costo real]</f>
        <v>0</v>
      </c>
      <c r="F20" s="171"/>
      <c r="G20" s="169" t="s">
        <v>141</v>
      </c>
      <c r="H20" s="166"/>
      <c r="I20" s="166">
        <v>200</v>
      </c>
      <c r="J20" s="170">
        <f>Tabla2[Costo previsto]-Tabla2[Costo real]</f>
        <v>-200</v>
      </c>
    </row>
    <row r="21" spans="1:10" ht="15.75" customHeight="1" x14ac:dyDescent="0.2">
      <c r="A21" s="151"/>
      <c r="B21" s="169" t="s">
        <v>141</v>
      </c>
      <c r="C21" s="166"/>
      <c r="D21" s="166">
        <v>50</v>
      </c>
      <c r="E21" s="170">
        <f>Tabla14[Costo previsto]-Tabla14[Costo real]</f>
        <v>-50</v>
      </c>
      <c r="F21" s="171"/>
      <c r="G21" s="165" t="s">
        <v>22</v>
      </c>
      <c r="H21" s="172">
        <f>SUBTOTAL(109,Tabla2[Costo previsto])</f>
        <v>0</v>
      </c>
      <c r="I21" s="166">
        <f>SUBTOTAL(109,Tabla2[Costo real])</f>
        <v>200</v>
      </c>
      <c r="J21" s="167">
        <f>SUBTOTAL(109,Tabla2[Diferencia])</f>
        <v>-200</v>
      </c>
    </row>
    <row r="22" spans="1:10" ht="15.75" customHeight="1" x14ac:dyDescent="0.2">
      <c r="A22" s="151"/>
      <c r="B22" s="165" t="s">
        <v>22</v>
      </c>
      <c r="C22" s="166">
        <f>SUBTOTAL(109,Tabla14[Costo previsto])</f>
        <v>3090</v>
      </c>
      <c r="D22" s="166">
        <f>SUBTOTAL(109,Tabla14[Costo real])</f>
        <v>2825</v>
      </c>
      <c r="E22" s="167">
        <f>SUBTOTAL(109,Tabla14[Diferencia])</f>
        <v>265</v>
      </c>
      <c r="F22" s="171"/>
      <c r="G22" s="216"/>
      <c r="H22" s="216"/>
      <c r="I22" s="216"/>
      <c r="J22" s="216"/>
    </row>
    <row r="23" spans="1:10" ht="15.75" customHeight="1" x14ac:dyDescent="0.2">
      <c r="A23" s="151"/>
      <c r="B23" s="204"/>
      <c r="C23" s="204"/>
      <c r="D23" s="204"/>
      <c r="E23" s="204"/>
      <c r="F23" s="171"/>
      <c r="G23" s="165" t="s">
        <v>189</v>
      </c>
      <c r="H23" s="166" t="s">
        <v>152</v>
      </c>
      <c r="I23" s="166" t="s">
        <v>151</v>
      </c>
      <c r="J23" s="167" t="s">
        <v>150</v>
      </c>
    </row>
    <row r="24" spans="1:10" ht="15.75" customHeight="1" x14ac:dyDescent="0.2">
      <c r="A24" s="151"/>
      <c r="B24" s="165" t="s">
        <v>188</v>
      </c>
      <c r="C24" s="166" t="s">
        <v>152</v>
      </c>
      <c r="D24" s="166" t="s">
        <v>151</v>
      </c>
      <c r="E24" s="167" t="s">
        <v>150</v>
      </c>
      <c r="F24" s="171"/>
      <c r="G24" s="169" t="s">
        <v>187</v>
      </c>
      <c r="H24" s="166"/>
      <c r="I24" s="166"/>
      <c r="J24" s="170">
        <f>Tabla8[Costo previsto]-Tabla8[Costo real]</f>
        <v>0</v>
      </c>
    </row>
    <row r="25" spans="1:10" ht="15.75" customHeight="1" x14ac:dyDescent="0.2">
      <c r="A25" s="151"/>
      <c r="B25" s="169" t="s">
        <v>186</v>
      </c>
      <c r="C25" s="166">
        <v>1000</v>
      </c>
      <c r="D25" s="166">
        <v>400</v>
      </c>
      <c r="E25" s="170">
        <f>Tabla3[Costo previsto]-Tabla3[Costo real]</f>
        <v>600</v>
      </c>
      <c r="F25" s="171"/>
      <c r="G25" s="169" t="s">
        <v>185</v>
      </c>
      <c r="H25" s="166"/>
      <c r="I25" s="166"/>
      <c r="J25" s="170">
        <f>Tabla8[Costo previsto]-Tabla8[Costo real]</f>
        <v>0</v>
      </c>
    </row>
    <row r="26" spans="1:10" ht="15.75" customHeight="1" x14ac:dyDescent="0.2">
      <c r="A26" s="151"/>
      <c r="B26" s="169" t="s">
        <v>184</v>
      </c>
      <c r="C26" s="166"/>
      <c r="D26" s="166"/>
      <c r="E26" s="170">
        <f>Tabla3[Costo previsto]-Tabla3[Costo real]</f>
        <v>0</v>
      </c>
      <c r="F26" s="171"/>
      <c r="G26" s="169" t="s">
        <v>181</v>
      </c>
      <c r="H26" s="166"/>
      <c r="I26" s="166"/>
      <c r="J26" s="170">
        <f>Tabla8[Costo previsto]-Tabla8[Costo real]</f>
        <v>0</v>
      </c>
    </row>
    <row r="27" spans="1:10" ht="15.75" customHeight="1" x14ac:dyDescent="0.2">
      <c r="A27" s="151"/>
      <c r="B27" s="169" t="s">
        <v>183</v>
      </c>
      <c r="C27" s="166"/>
      <c r="D27" s="166"/>
      <c r="E27" s="170">
        <f>Tabla3[Costo previsto]-Tabla3[Costo real]</f>
        <v>0</v>
      </c>
      <c r="F27" s="171"/>
      <c r="G27" s="169" t="s">
        <v>181</v>
      </c>
      <c r="H27" s="166"/>
      <c r="I27" s="166"/>
      <c r="J27" s="170">
        <f>Tabla8[Costo previsto]-Tabla8[Costo real]</f>
        <v>0</v>
      </c>
    </row>
    <row r="28" spans="1:10" ht="15.75" customHeight="1" x14ac:dyDescent="0.2">
      <c r="A28" s="151"/>
      <c r="B28" s="169" t="s">
        <v>182</v>
      </c>
      <c r="C28" s="166"/>
      <c r="D28" s="166"/>
      <c r="E28" s="170">
        <f>Tabla3[Costo previsto]-Tabla3[Costo real]</f>
        <v>0</v>
      </c>
      <c r="F28" s="171"/>
      <c r="G28" s="169" t="s">
        <v>181</v>
      </c>
      <c r="H28" s="166"/>
      <c r="I28" s="166"/>
      <c r="J28" s="170">
        <f>Tabla8[Costo previsto]-Tabla8[Costo real]</f>
        <v>0</v>
      </c>
    </row>
    <row r="29" spans="1:10" ht="15.75" customHeight="1" x14ac:dyDescent="0.2">
      <c r="A29" s="151"/>
      <c r="B29" s="169" t="s">
        <v>54</v>
      </c>
      <c r="C29" s="166"/>
      <c r="D29" s="166"/>
      <c r="E29" s="170">
        <f>Tabla3[Costo previsto]-Tabla3[Costo real]</f>
        <v>0</v>
      </c>
      <c r="F29" s="171"/>
      <c r="G29" s="169" t="s">
        <v>141</v>
      </c>
      <c r="H29" s="166"/>
      <c r="I29" s="166"/>
      <c r="J29" s="170">
        <f>Tabla8[Costo previsto]-Tabla8[Costo real]</f>
        <v>0</v>
      </c>
    </row>
    <row r="30" spans="1:10" ht="15.75" customHeight="1" x14ac:dyDescent="0.2">
      <c r="A30" s="151"/>
      <c r="B30" s="169" t="s">
        <v>180</v>
      </c>
      <c r="C30" s="166"/>
      <c r="D30" s="166"/>
      <c r="E30" s="170">
        <f>Tabla3[Costo previsto]-Tabla3[Costo real]</f>
        <v>0</v>
      </c>
      <c r="F30" s="171"/>
      <c r="G30" s="165" t="s">
        <v>22</v>
      </c>
      <c r="H30" s="166">
        <f>SUBTOTAL(109,Tabla8[Costo previsto])</f>
        <v>0</v>
      </c>
      <c r="I30" s="166">
        <f>SUBTOTAL(109,Tabla8[Costo real])</f>
        <v>0</v>
      </c>
      <c r="J30" s="167">
        <f>SUBTOTAL(109,Tabla8[Diferencia])</f>
        <v>0</v>
      </c>
    </row>
    <row r="31" spans="1:10" ht="15.75" customHeight="1" x14ac:dyDescent="0.2">
      <c r="A31" s="151"/>
      <c r="B31" s="169" t="s">
        <v>141</v>
      </c>
      <c r="C31" s="166"/>
      <c r="D31" s="166"/>
      <c r="E31" s="170">
        <f>Tabla3[Costo previsto]-Tabla3[Costo real]</f>
        <v>0</v>
      </c>
      <c r="F31" s="171"/>
      <c r="G31" s="204"/>
      <c r="H31" s="204"/>
      <c r="I31" s="204"/>
      <c r="J31" s="204"/>
    </row>
    <row r="32" spans="1:10" ht="15.75" customHeight="1" x14ac:dyDescent="0.2">
      <c r="A32" s="151"/>
      <c r="B32" s="165" t="s">
        <v>22</v>
      </c>
      <c r="C32" s="166">
        <f>SUBTOTAL(109,Tabla3[Costo previsto])</f>
        <v>1000</v>
      </c>
      <c r="D32" s="166">
        <f>SUBTOTAL(109,Tabla3[Costo real])</f>
        <v>400</v>
      </c>
      <c r="E32" s="167">
        <f>SUBTOTAL(109,Tabla3[Diferencia])</f>
        <v>600</v>
      </c>
      <c r="F32" s="171"/>
      <c r="G32" s="165" t="s">
        <v>179</v>
      </c>
      <c r="H32" s="166" t="s">
        <v>152</v>
      </c>
      <c r="I32" s="166" t="s">
        <v>151</v>
      </c>
      <c r="J32" s="167" t="s">
        <v>150</v>
      </c>
    </row>
    <row r="33" spans="1:10" ht="15.75" customHeight="1" x14ac:dyDescent="0.2">
      <c r="A33" s="151"/>
      <c r="B33" s="204"/>
      <c r="C33" s="204"/>
      <c r="D33" s="204"/>
      <c r="E33" s="204"/>
      <c r="F33" s="171"/>
      <c r="G33" s="169" t="s">
        <v>178</v>
      </c>
      <c r="H33" s="166"/>
      <c r="I33" s="166"/>
      <c r="J33" s="170">
        <f>Tabla9[Costo previsto]-Tabla9[Costo real]</f>
        <v>0</v>
      </c>
    </row>
    <row r="34" spans="1:10" ht="15.75" customHeight="1" x14ac:dyDescent="0.2">
      <c r="A34" s="151"/>
      <c r="B34" s="165" t="s">
        <v>177</v>
      </c>
      <c r="C34" s="166" t="s">
        <v>152</v>
      </c>
      <c r="D34" s="166" t="s">
        <v>151</v>
      </c>
      <c r="E34" s="167" t="s">
        <v>150</v>
      </c>
      <c r="F34" s="171"/>
      <c r="G34" s="169" t="s">
        <v>176</v>
      </c>
      <c r="H34" s="166"/>
      <c r="I34" s="166"/>
      <c r="J34" s="170">
        <f>Tabla9[Costo previsto]-Tabla9[Costo real]</f>
        <v>0</v>
      </c>
    </row>
    <row r="35" spans="1:10" ht="15.75" customHeight="1" x14ac:dyDescent="0.2">
      <c r="A35" s="151"/>
      <c r="B35" s="169" t="s">
        <v>175</v>
      </c>
      <c r="C35" s="166"/>
      <c r="D35" s="166"/>
      <c r="E35" s="170">
        <f>Tabla4[Costo previsto]-Tabla4[Costo real]</f>
        <v>0</v>
      </c>
      <c r="F35" s="171"/>
      <c r="G35" s="169" t="s">
        <v>174</v>
      </c>
      <c r="H35" s="166"/>
      <c r="I35" s="166"/>
      <c r="J35" s="170">
        <f>Tabla9[Costo previsto]-Tabla9[Costo real]</f>
        <v>0</v>
      </c>
    </row>
    <row r="36" spans="1:10" ht="15.75" customHeight="1" x14ac:dyDescent="0.2">
      <c r="A36" s="151"/>
      <c r="B36" s="169" t="s">
        <v>173</v>
      </c>
      <c r="C36" s="166"/>
      <c r="D36" s="166"/>
      <c r="E36" s="170">
        <f>Tabla4[Costo previsto]-Tabla4[Costo real]</f>
        <v>0</v>
      </c>
      <c r="F36" s="171"/>
      <c r="G36" s="169" t="s">
        <v>141</v>
      </c>
      <c r="H36" s="166"/>
      <c r="I36" s="166"/>
      <c r="J36" s="170">
        <f>Tabla9[Costo previsto]-Tabla9[Costo real]</f>
        <v>0</v>
      </c>
    </row>
    <row r="37" spans="1:10" ht="15.75" customHeight="1" x14ac:dyDescent="0.2">
      <c r="A37" s="151"/>
      <c r="B37" s="169" t="s">
        <v>172</v>
      </c>
      <c r="C37" s="166"/>
      <c r="D37" s="166"/>
      <c r="E37" s="170">
        <f>Tabla4[Costo previsto]-Tabla4[Costo real]</f>
        <v>0</v>
      </c>
      <c r="F37" s="171"/>
      <c r="G37" s="165" t="s">
        <v>22</v>
      </c>
      <c r="H37" s="166">
        <f>SUBTOTAL(109,Tabla9[Costo previsto])</f>
        <v>0</v>
      </c>
      <c r="I37" s="166">
        <f>SUBTOTAL(109,Tabla9[Costo real])</f>
        <v>0</v>
      </c>
      <c r="J37" s="167">
        <f>SUBTOTAL(109,Tabla9[Diferencia])</f>
        <v>0</v>
      </c>
    </row>
    <row r="38" spans="1:10" ht="15.75" customHeight="1" x14ac:dyDescent="0.2">
      <c r="A38" s="151"/>
      <c r="B38" s="169" t="s">
        <v>141</v>
      </c>
      <c r="C38" s="166"/>
      <c r="D38" s="166"/>
      <c r="E38" s="170">
        <f>Tabla4[Costo previsto]-Tabla4[Costo real]</f>
        <v>0</v>
      </c>
      <c r="F38" s="171"/>
      <c r="G38" s="204"/>
      <c r="H38" s="204"/>
      <c r="I38" s="204"/>
      <c r="J38" s="204"/>
    </row>
    <row r="39" spans="1:10" ht="15.75" customHeight="1" x14ac:dyDescent="0.2">
      <c r="A39" s="151"/>
      <c r="B39" s="165" t="s">
        <v>22</v>
      </c>
      <c r="C39" s="166">
        <f>SUBTOTAL(109,Tabla4[Costo previsto])</f>
        <v>0</v>
      </c>
      <c r="D39" s="166">
        <f>SUBTOTAL(109,Tabla4[Costo real])</f>
        <v>0</v>
      </c>
      <c r="E39" s="167">
        <f>SUBTOTAL(109,Tabla4[Diferencia])</f>
        <v>0</v>
      </c>
      <c r="F39" s="171"/>
      <c r="G39" s="165" t="s">
        <v>171</v>
      </c>
      <c r="H39" s="166" t="s">
        <v>152</v>
      </c>
      <c r="I39" s="166" t="s">
        <v>151</v>
      </c>
      <c r="J39" s="167" t="s">
        <v>150</v>
      </c>
    </row>
    <row r="40" spans="1:10" ht="15.75" customHeight="1" x14ac:dyDescent="0.2">
      <c r="A40" s="151"/>
      <c r="B40" s="204"/>
      <c r="C40" s="204"/>
      <c r="D40" s="204"/>
      <c r="E40" s="204"/>
      <c r="F40" s="171"/>
      <c r="G40" s="169" t="s">
        <v>170</v>
      </c>
      <c r="H40" s="166"/>
      <c r="I40" s="166"/>
      <c r="J40" s="170">
        <f>Tabla10[Costo previsto]-Tabla10[Costo real]</f>
        <v>0</v>
      </c>
    </row>
    <row r="41" spans="1:10" ht="15.75" customHeight="1" x14ac:dyDescent="0.2">
      <c r="A41" s="151"/>
      <c r="B41" s="165" t="s">
        <v>169</v>
      </c>
      <c r="C41" s="166" t="s">
        <v>152</v>
      </c>
      <c r="D41" s="166" t="s">
        <v>151</v>
      </c>
      <c r="E41" s="167" t="s">
        <v>150</v>
      </c>
      <c r="F41" s="171"/>
      <c r="G41" s="169" t="s">
        <v>168</v>
      </c>
      <c r="H41" s="166"/>
      <c r="I41" s="166"/>
      <c r="J41" s="170">
        <f>Tabla10[Costo previsto]-Tabla10[Costo real]</f>
        <v>0</v>
      </c>
    </row>
    <row r="42" spans="1:10" ht="15.75" customHeight="1" x14ac:dyDescent="0.2">
      <c r="A42" s="151"/>
      <c r="B42" s="169" t="s">
        <v>167</v>
      </c>
      <c r="C42" s="166">
        <v>400</v>
      </c>
      <c r="D42" s="166">
        <v>400</v>
      </c>
      <c r="E42" s="170">
        <f>Tabla5[Costo previsto]-Tabla5[Costo real]</f>
        <v>0</v>
      </c>
      <c r="F42" s="171"/>
      <c r="G42" s="169" t="s">
        <v>141</v>
      </c>
      <c r="H42" s="166"/>
      <c r="I42" s="166"/>
      <c r="J42" s="170">
        <f>Tabla10[Costo previsto]-Tabla10[Costo real]</f>
        <v>0</v>
      </c>
    </row>
    <row r="43" spans="1:10" ht="15.75" customHeight="1" x14ac:dyDescent="0.2">
      <c r="A43" s="151"/>
      <c r="B43" s="169" t="s">
        <v>166</v>
      </c>
      <c r="C43" s="166"/>
      <c r="D43" s="166"/>
      <c r="E43" s="170">
        <f>Tabla5[Costo previsto]-Tabla5[Costo real]</f>
        <v>0</v>
      </c>
      <c r="F43" s="171"/>
      <c r="G43" s="165" t="s">
        <v>22</v>
      </c>
      <c r="H43" s="166">
        <f>SUBTOTAL(109,Tabla10[Costo previsto])</f>
        <v>0</v>
      </c>
      <c r="I43" s="166">
        <f>SUBTOTAL(109,Tabla10[Costo real])</f>
        <v>0</v>
      </c>
      <c r="J43" s="167">
        <f>SUBTOTAL(109,Tabla10[Diferencia])</f>
        <v>0</v>
      </c>
    </row>
    <row r="44" spans="1:10" ht="15.75" customHeight="1" x14ac:dyDescent="0.2">
      <c r="A44" s="151"/>
      <c r="B44" s="169" t="s">
        <v>141</v>
      </c>
      <c r="C44" s="166"/>
      <c r="D44" s="166"/>
      <c r="E44" s="170">
        <f>Tabla5[Costo previsto]-Tabla5[Costo real]</f>
        <v>0</v>
      </c>
      <c r="F44" s="171"/>
      <c r="G44" s="204"/>
      <c r="H44" s="204"/>
      <c r="I44" s="204"/>
      <c r="J44" s="204"/>
    </row>
    <row r="45" spans="1:10" ht="15.75" customHeight="1" x14ac:dyDescent="0.2">
      <c r="A45" s="151"/>
      <c r="B45" s="165" t="s">
        <v>22</v>
      </c>
      <c r="C45" s="166">
        <f>SUBTOTAL(109,Tabla5[Costo previsto])</f>
        <v>400</v>
      </c>
      <c r="D45" s="166">
        <f>SUBTOTAL(109,Tabla5[Costo real])</f>
        <v>400</v>
      </c>
      <c r="E45" s="167">
        <f>SUBTOTAL(109,Tabla5[Diferencia])</f>
        <v>0</v>
      </c>
      <c r="F45" s="171"/>
      <c r="G45" s="165" t="s">
        <v>165</v>
      </c>
      <c r="H45" s="166" t="s">
        <v>152</v>
      </c>
      <c r="I45" s="166" t="s">
        <v>151</v>
      </c>
      <c r="J45" s="167" t="s">
        <v>150</v>
      </c>
    </row>
    <row r="46" spans="1:10" ht="15.75" customHeight="1" x14ac:dyDescent="0.2">
      <c r="A46" s="151"/>
      <c r="B46" s="204"/>
      <c r="C46" s="204"/>
      <c r="D46" s="204"/>
      <c r="E46" s="204"/>
      <c r="F46" s="171"/>
      <c r="G46" s="169" t="s">
        <v>164</v>
      </c>
      <c r="H46" s="166"/>
      <c r="I46" s="166"/>
      <c r="J46" s="170">
        <f>Tabla11[Costo previsto]-Tabla11[Costo real]</f>
        <v>0</v>
      </c>
    </row>
    <row r="47" spans="1:10" ht="15.75" customHeight="1" x14ac:dyDescent="0.2">
      <c r="A47" s="151"/>
      <c r="B47" s="165" t="s">
        <v>163</v>
      </c>
      <c r="C47" s="166" t="s">
        <v>152</v>
      </c>
      <c r="D47" s="166" t="s">
        <v>151</v>
      </c>
      <c r="E47" s="167" t="s">
        <v>150</v>
      </c>
      <c r="F47" s="171"/>
      <c r="G47" s="169" t="s">
        <v>162</v>
      </c>
      <c r="H47" s="166"/>
      <c r="I47" s="166"/>
      <c r="J47" s="170">
        <f>Tabla11[Costo previsto]-Tabla11[Costo real]</f>
        <v>0</v>
      </c>
    </row>
    <row r="48" spans="1:10" ht="15.75" customHeight="1" x14ac:dyDescent="0.2">
      <c r="A48" s="151"/>
      <c r="B48" s="169" t="s">
        <v>161</v>
      </c>
      <c r="C48" s="166"/>
      <c r="D48" s="166"/>
      <c r="E48" s="170">
        <f>Tabla6[Costo previsto]-Tabla6[Costo real]</f>
        <v>0</v>
      </c>
      <c r="F48" s="171"/>
      <c r="G48" s="169" t="s">
        <v>160</v>
      </c>
      <c r="H48" s="166"/>
      <c r="I48" s="166"/>
      <c r="J48" s="170">
        <f>Tabla11[Costo previsto]-Tabla11[Costo real]</f>
        <v>0</v>
      </c>
    </row>
    <row r="49" spans="1:10" ht="15.75" customHeight="1" x14ac:dyDescent="0.2">
      <c r="A49" s="151"/>
      <c r="B49" s="169" t="s">
        <v>149</v>
      </c>
      <c r="C49" s="166"/>
      <c r="D49" s="166"/>
      <c r="E49" s="170">
        <f>Tabla6[Costo previsto]-Tabla6[Costo real]</f>
        <v>0</v>
      </c>
      <c r="F49" s="171"/>
      <c r="G49" s="165" t="s">
        <v>22</v>
      </c>
      <c r="H49" s="166">
        <f>SUBTOTAL(109,Tabla11[Costo previsto])</f>
        <v>0</v>
      </c>
      <c r="I49" s="166">
        <f>SUBTOTAL(109,Tabla11[Costo real])</f>
        <v>0</v>
      </c>
      <c r="J49" s="167">
        <f>SUBTOTAL(109,Tabla11[Diferencia])</f>
        <v>0</v>
      </c>
    </row>
    <row r="50" spans="1:10" ht="15.75" customHeight="1" x14ac:dyDescent="0.2">
      <c r="A50" s="151"/>
      <c r="B50" s="169" t="s">
        <v>159</v>
      </c>
      <c r="C50" s="166"/>
      <c r="D50" s="166"/>
      <c r="E50" s="170">
        <f>Tabla6[Costo previsto]-Tabla6[Costo real]</f>
        <v>0</v>
      </c>
      <c r="F50" s="171"/>
      <c r="G50" s="204"/>
      <c r="H50" s="204"/>
      <c r="I50" s="204"/>
      <c r="J50" s="204"/>
    </row>
    <row r="51" spans="1:10" ht="15.75" customHeight="1" x14ac:dyDescent="0.2">
      <c r="A51" s="151"/>
      <c r="B51" s="169" t="s">
        <v>158</v>
      </c>
      <c r="C51" s="166"/>
      <c r="D51" s="166"/>
      <c r="E51" s="170">
        <f>Tabla6[Costo previsto]-Tabla6[Costo real]</f>
        <v>0</v>
      </c>
      <c r="F51" s="171"/>
      <c r="G51" s="165" t="s">
        <v>157</v>
      </c>
      <c r="H51" s="166" t="s">
        <v>152</v>
      </c>
      <c r="I51" s="166" t="s">
        <v>151</v>
      </c>
      <c r="J51" s="167" t="s">
        <v>150</v>
      </c>
    </row>
    <row r="52" spans="1:10" ht="15.75" customHeight="1" x14ac:dyDescent="0.2">
      <c r="A52" s="151"/>
      <c r="B52" s="169" t="s">
        <v>141</v>
      </c>
      <c r="C52" s="166"/>
      <c r="D52" s="166"/>
      <c r="E52" s="170">
        <f>Tabla6[Costo previsto]-Tabla6[Costo real]</f>
        <v>0</v>
      </c>
      <c r="F52" s="171"/>
      <c r="G52" s="169" t="s">
        <v>156</v>
      </c>
      <c r="H52" s="166"/>
      <c r="I52" s="166"/>
      <c r="J52" s="170">
        <f>Tabla12[Costo previsto]-Tabla12[Costo real]</f>
        <v>0</v>
      </c>
    </row>
    <row r="53" spans="1:10" ht="15.75" customHeight="1" x14ac:dyDescent="0.2">
      <c r="A53" s="151"/>
      <c r="B53" s="165" t="s">
        <v>22</v>
      </c>
      <c r="C53" s="166">
        <f>SUBTOTAL(109,Tabla6[Costo previsto])</f>
        <v>0</v>
      </c>
      <c r="D53" s="166">
        <f>SUBTOTAL(109,Tabla6[Costo real])</f>
        <v>0</v>
      </c>
      <c r="E53" s="167">
        <f>SUBTOTAL(109,Tabla6[Diferencia])</f>
        <v>0</v>
      </c>
      <c r="F53" s="171"/>
      <c r="G53" s="169" t="s">
        <v>155</v>
      </c>
      <c r="H53" s="166"/>
      <c r="I53" s="166"/>
      <c r="J53" s="170">
        <f>Tabla12[Costo previsto]-Tabla12[Costo real]</f>
        <v>0</v>
      </c>
    </row>
    <row r="54" spans="1:10" ht="15.75" customHeight="1" x14ac:dyDescent="0.2">
      <c r="A54" s="151"/>
      <c r="B54" s="204"/>
      <c r="C54" s="204"/>
      <c r="D54" s="204"/>
      <c r="E54" s="204"/>
      <c r="F54" s="171"/>
      <c r="G54" s="169" t="s">
        <v>154</v>
      </c>
      <c r="H54" s="166"/>
      <c r="I54" s="166"/>
      <c r="J54" s="170">
        <f>Tabla12[Costo previsto]-Tabla12[Costo real]</f>
        <v>0</v>
      </c>
    </row>
    <row r="55" spans="1:10" ht="15.75" customHeight="1" x14ac:dyDescent="0.2">
      <c r="A55" s="151"/>
      <c r="B55" s="165" t="s">
        <v>153</v>
      </c>
      <c r="C55" s="166" t="s">
        <v>152</v>
      </c>
      <c r="D55" s="166" t="s">
        <v>151</v>
      </c>
      <c r="E55" s="167" t="s">
        <v>150</v>
      </c>
      <c r="F55" s="171"/>
      <c r="G55" s="169" t="s">
        <v>141</v>
      </c>
      <c r="H55" s="166"/>
      <c r="I55" s="166"/>
      <c r="J55" s="170">
        <f>Tabla12[Costo previsto]-Tabla12[Costo real]</f>
        <v>0</v>
      </c>
    </row>
    <row r="56" spans="1:10" ht="15.75" customHeight="1" x14ac:dyDescent="0.2">
      <c r="A56" s="151"/>
      <c r="B56" s="169" t="s">
        <v>149</v>
      </c>
      <c r="C56" s="166"/>
      <c r="D56" s="166"/>
      <c r="E56" s="170">
        <f>Tabla7[Costo previsto]-Tabla7[Costo real]</f>
        <v>0</v>
      </c>
      <c r="F56" s="171"/>
      <c r="G56" s="165" t="s">
        <v>22</v>
      </c>
      <c r="H56" s="166">
        <f>SUBTOTAL(109,Tabla12[Costo previsto])</f>
        <v>0</v>
      </c>
      <c r="I56" s="166">
        <f>SUBTOTAL(109,Tabla12[Costo real])</f>
        <v>0</v>
      </c>
      <c r="J56" s="167">
        <f>SUBTOTAL(109,Tabla12[Diferencia])</f>
        <v>0</v>
      </c>
    </row>
    <row r="57" spans="1:10" ht="15.75" customHeight="1" x14ac:dyDescent="0.2">
      <c r="A57" s="151"/>
      <c r="B57" s="169" t="s">
        <v>148</v>
      </c>
      <c r="C57" s="166"/>
      <c r="D57" s="166"/>
      <c r="E57" s="170">
        <f>Tabla7[Costo previsto]-Tabla7[Costo real]</f>
        <v>0</v>
      </c>
      <c r="F57" s="173"/>
      <c r="G57" s="205"/>
      <c r="H57" s="205"/>
      <c r="I57" s="205"/>
      <c r="J57" s="205"/>
    </row>
    <row r="58" spans="1:10" ht="15.75" customHeight="1" x14ac:dyDescent="0.2">
      <c r="A58" s="151"/>
      <c r="B58" s="169" t="s">
        <v>147</v>
      </c>
      <c r="C58" s="166"/>
      <c r="D58" s="166"/>
      <c r="E58" s="170">
        <f>Tabla7[Costo previsto]-Tabla7[Costo real]</f>
        <v>0</v>
      </c>
      <c r="F58" s="173"/>
      <c r="G58" s="207" t="s">
        <v>146</v>
      </c>
      <c r="H58" s="207"/>
      <c r="I58" s="207"/>
      <c r="J58" s="208">
        <f>SUM(C22,C32,C39,C45,C53,C63,H21,H30,H37,H43,H49,H56)</f>
        <v>4490</v>
      </c>
    </row>
    <row r="59" spans="1:10" ht="15.75" customHeight="1" x14ac:dyDescent="0.2">
      <c r="A59" s="151"/>
      <c r="B59" s="169" t="s">
        <v>145</v>
      </c>
      <c r="C59" s="166"/>
      <c r="D59" s="166"/>
      <c r="E59" s="170">
        <f>Tabla7[Costo previsto]-Tabla7[Costo real]</f>
        <v>0</v>
      </c>
      <c r="F59" s="173"/>
      <c r="G59" s="207"/>
      <c r="H59" s="207"/>
      <c r="I59" s="207"/>
      <c r="J59" s="208"/>
    </row>
    <row r="60" spans="1:10" ht="15.75" customHeight="1" x14ac:dyDescent="0.2">
      <c r="A60" s="151"/>
      <c r="B60" s="169" t="s">
        <v>144</v>
      </c>
      <c r="C60" s="166"/>
      <c r="D60" s="166"/>
      <c r="E60" s="170">
        <f>Tabla7[Costo previsto]-Tabla7[Costo real]</f>
        <v>0</v>
      </c>
      <c r="F60" s="173"/>
      <c r="G60" s="207" t="s">
        <v>143</v>
      </c>
      <c r="H60" s="207"/>
      <c r="I60" s="207"/>
      <c r="J60" s="208">
        <f>SUM(D22,D32,D39,D45,D53,D63,I21,I30,I37,I43,I49,I56)</f>
        <v>3825</v>
      </c>
    </row>
    <row r="61" spans="1:10" ht="15.75" customHeight="1" x14ac:dyDescent="0.2">
      <c r="A61" s="151"/>
      <c r="B61" s="169" t="s">
        <v>142</v>
      </c>
      <c r="C61" s="166"/>
      <c r="D61" s="166"/>
      <c r="E61" s="170">
        <f>Tabla7[Costo previsto]-Tabla7[Costo real]</f>
        <v>0</v>
      </c>
      <c r="F61" s="173"/>
      <c r="G61" s="207"/>
      <c r="H61" s="207"/>
      <c r="I61" s="207"/>
      <c r="J61" s="208"/>
    </row>
    <row r="62" spans="1:10" ht="15.75" customHeight="1" x14ac:dyDescent="0.2">
      <c r="A62" s="151"/>
      <c r="B62" s="169" t="s">
        <v>141</v>
      </c>
      <c r="C62" s="166"/>
      <c r="D62" s="166"/>
      <c r="E62" s="170">
        <f>Tabla7[Costo previsto]-Tabla7[Costo real]</f>
        <v>0</v>
      </c>
      <c r="F62" s="173"/>
      <c r="G62" s="207" t="s">
        <v>140</v>
      </c>
      <c r="H62" s="207"/>
      <c r="I62" s="207"/>
      <c r="J62" s="208">
        <f>SUM(E22,E32,E39,E45,E53,E63,J21,J30,J37,J43,J49,J56)</f>
        <v>665</v>
      </c>
    </row>
    <row r="63" spans="1:10" ht="15.75" customHeight="1" x14ac:dyDescent="0.2">
      <c r="A63" s="151"/>
      <c r="B63" s="165" t="s">
        <v>22</v>
      </c>
      <c r="C63" s="166">
        <f>SUBTOTAL(109,Tabla7[Costo previsto])</f>
        <v>0</v>
      </c>
      <c r="D63" s="166">
        <f>SUBTOTAL(109,Tabla7[Costo real])</f>
        <v>0</v>
      </c>
      <c r="E63" s="167">
        <f>SUBTOTAL(109,Tabla7[Diferencia])</f>
        <v>0</v>
      </c>
      <c r="F63" s="173"/>
      <c r="G63" s="207"/>
      <c r="H63" s="207"/>
      <c r="I63" s="207"/>
      <c r="J63" s="208"/>
    </row>
    <row r="64" spans="1:10" ht="15.75" customHeight="1" x14ac:dyDescent="0.2"/>
  </sheetData>
  <mergeCells count="33">
    <mergeCell ref="J62:J63"/>
    <mergeCell ref="G62:I63"/>
    <mergeCell ref="J60:J61"/>
    <mergeCell ref="G60:I61"/>
    <mergeCell ref="G58:I59"/>
    <mergeCell ref="J58:J59"/>
    <mergeCell ref="G22:J22"/>
    <mergeCell ref="G31:J31"/>
    <mergeCell ref="G38:J38"/>
    <mergeCell ref="G44:J44"/>
    <mergeCell ref="G50:J50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C5:D5"/>
    <mergeCell ref="B23:E23"/>
    <mergeCell ref="B33:E33"/>
    <mergeCell ref="B40:E40"/>
    <mergeCell ref="B46:E46"/>
    <mergeCell ref="G57:J57"/>
    <mergeCell ref="B54:E54"/>
  </mergeCells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" right="0.5" top="0.5" bottom="0.5" header="0.5" footer="0.5"/>
  <pageSetup scale="65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Fondo de maniobra</vt:lpstr>
      <vt:lpstr>Gastos Mensuales</vt:lpstr>
      <vt:lpstr>Factura</vt:lpstr>
      <vt:lpstr>Informe de gastos</vt:lpstr>
      <vt:lpstr>Hoja de asistencia</vt:lpstr>
      <vt:lpstr>Registro de ventas</vt:lpstr>
      <vt:lpstr>Presupuesto mensual personal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Montserrat García Díaz</dc:creator>
  <cp:lastModifiedBy>Gadi Montse</cp:lastModifiedBy>
  <dcterms:created xsi:type="dcterms:W3CDTF">2015-11-04T04:01:07Z</dcterms:created>
  <dcterms:modified xsi:type="dcterms:W3CDTF">2015-11-18T08:00:50Z</dcterms:modified>
</cp:coreProperties>
</file>